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60" windowWidth="11760" windowHeight="11730" activeTab="1"/>
  </bookViews>
  <sheets>
    <sheet name="Instruções de Preenchimento" sheetId="1" r:id="rId1"/>
    <sheet name="Orçamento Sintético" sheetId="2" r:id="rId2"/>
    <sheet name="CCU's" sheetId="3" r:id="rId3"/>
    <sheet name="Insumos" sheetId="4" r:id="rId4"/>
    <sheet name="Composição de BDI" sheetId="5" r:id="rId5"/>
    <sheet name="Composição de Encargos Sociais" sheetId="6" r:id="rId6"/>
    <sheet name="Cronograma" sheetId="7" r:id="rId7"/>
  </sheets>
  <definedNames>
    <definedName name="_Toc162077558_1">#REF!</definedName>
    <definedName name="_xlnm.Print_Area" localSheetId="2">'CCU''s'!$A$1:$G$117</definedName>
    <definedName name="_xlnm.Print_Area" localSheetId="6">'Cronograma'!$A$1:$F$40</definedName>
    <definedName name="_xlnm.Print_Area" localSheetId="3">'Insumos'!$A$1:$F$53</definedName>
    <definedName name="_xlnm.Print_Area" localSheetId="1">'Orçamento Sintético'!$A$1:$G$54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_1">#REF!</definedName>
    <definedName name="Excel_BuiltIn_Print_Area_1_1_1_1_5">#REF!</definedName>
    <definedName name="Excel_BuiltIn_Print_Area_1_1_1_5">#REF!</definedName>
    <definedName name="Excel_BuiltIn_Print_Area_1_1_5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5">#REF!</definedName>
    <definedName name="Excel_BuiltIn_Print_Area_2_5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3">#REF!</definedName>
    <definedName name="Excel_BuiltIn_Print_Area_3_1_1_1_3">#REF!</definedName>
    <definedName name="Excel_BuiltIn_Print_Area_3_1_1_3">#REF!</definedName>
    <definedName name="Excel_BuiltIn_Print_Area_3_1_3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5">#REF!</definedName>
    <definedName name="Excel_BuiltIn_Print_Area_4_1_1_5">#REF!</definedName>
    <definedName name="Excel_BuiltIn_Print_Area_4_1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5">#REF!</definedName>
    <definedName name="Excel_BuiltIn_Print_Area_5_1_5">#REF!</definedName>
    <definedName name="Excel_BuiltIn_Print_Area_6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5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5">#REF!</definedName>
    <definedName name="Excel_BuiltIn_Print_Titles_2_1_1_5">#REF!</definedName>
    <definedName name="Excel_BuiltIn_Print_Titles_2_1_5">#REF!</definedName>
    <definedName name="Excel_BuiltIn_Print_Titles_2_5">#REF!</definedName>
    <definedName name="Excel_BuiltIn_Print_Titles_3_1">#REF!</definedName>
    <definedName name="Excel_BuiltIn_Print_Titles_3_1_3">#REF!</definedName>
    <definedName name="Excel_BuiltIn_Print_Titles_4">#REF!</definedName>
    <definedName name="Excel_BuiltIn_Print_Titles_4_1">#REF!</definedName>
    <definedName name="Excel_BuiltIn_Print_Titles_4_1_5">#REF!</definedName>
    <definedName name="Excel_BuiltIn_Print_Titles_5">#REF!</definedName>
    <definedName name="Excel_BuiltIn_Print_Titles_5_1">#REF!</definedName>
    <definedName name="Excel_BuiltIn_Print_Titles_5_5">#REF!</definedName>
    <definedName name="_xlnm.Print_Titles" localSheetId="2">'CCU''s'!$1:$9</definedName>
    <definedName name="_xlnm.Print_Titles" localSheetId="6">'Cronograma'!$A:$D,'Cronograma'!$1:$10</definedName>
    <definedName name="_xlnm.Print_Titles" localSheetId="3">'Insumos'!$1:$9</definedName>
    <definedName name="_xlnm.Print_Titles" localSheetId="1">'Orçamento Sintético'!$1:$9</definedName>
    <definedName name="Z_30D3052A_28E2_4FD7_BA1C_F8C04069EC7B_.wvu.PrintArea" localSheetId="6" hidden="1">'Cronograma'!$A$1:$E$40</definedName>
    <definedName name="Z_30D3052A_28E2_4FD7_BA1C_F8C04069EC7B_.wvu.PrintTitles" localSheetId="6" hidden="1">'Cronograma'!$A:$D,'Cronograma'!$1:$10</definedName>
    <definedName name="Z_498CD290_57D3_4EB6_809E_4485D3431D25_.wvu.PrintArea" localSheetId="6" hidden="1">'Cronograma'!$A$1:$E$40</definedName>
    <definedName name="Z_498CD290_57D3_4EB6_809E_4485D3431D25_.wvu.PrintTitles" localSheetId="6" hidden="1">'Cronograma'!$A:$D,'Cronograma'!$1:$10</definedName>
    <definedName name="Z_71409849_3ED0_4F48_B303_9AEF25621248_.wvu.PrintArea" localSheetId="6" hidden="1">'Cronograma'!$A$1:$E$40</definedName>
    <definedName name="Z_71409849_3ED0_4F48_B303_9AEF25621248_.wvu.PrintTitles" localSheetId="6" hidden="1">'Cronograma'!$A:$D,'Cronograma'!$1:$10</definedName>
    <definedName name="Z_90C689CB_2D29_425D_ABEB_98210574A54A_.wvu.PrintArea" localSheetId="6" hidden="1">'Cronograma'!$A$1:$E$40</definedName>
    <definedName name="Z_90C689CB_2D29_425D_ABEB_98210574A54A_.wvu.PrintArea" localSheetId="1" hidden="1">'Orçamento Sintético'!$A$1:$G$54</definedName>
    <definedName name="Z_90C689CB_2D29_425D_ABEB_98210574A54A_.wvu.PrintTitles" localSheetId="6" hidden="1">'Cronograma'!$A:$D,'Cronograma'!$1:$10</definedName>
    <definedName name="Z_AABDECCC_9386_49A1_96E9_F797DCC1E421_.wvu.PrintArea" localSheetId="6" hidden="1">'Cronograma'!$A$1:$E$40</definedName>
    <definedName name="Z_AABDECCC_9386_49A1_96E9_F797DCC1E421_.wvu.PrintTitles" localSheetId="6" hidden="1">'Cronograma'!$A:$D,'Cronograma'!$1:$10</definedName>
    <definedName name="Z_BC62E081_70CA_46B9_88E2_4181F6A5F73D_.wvu.PrintArea" localSheetId="6" hidden="1">'Cronograma'!$A$1:$E$40</definedName>
    <definedName name="Z_BC62E081_70CA_46B9_88E2_4181F6A5F73D_.wvu.PrintTitles" localSheetId="6" hidden="1">'Cronograma'!$A:$D,'Cronograma'!$1:$10</definedName>
  </definedNames>
  <calcPr fullCalcOnLoad="1"/>
</workbook>
</file>

<file path=xl/sharedStrings.xml><?xml version="1.0" encoding="utf-8"?>
<sst xmlns="http://schemas.openxmlformats.org/spreadsheetml/2006/main" count="508" uniqueCount="320">
  <si>
    <t>Limpeza de obra</t>
  </si>
  <si>
    <t>Pessoal</t>
  </si>
  <si>
    <t>DEMOLIÇÃO</t>
  </si>
  <si>
    <t>05.03.000</t>
  </si>
  <si>
    <t>DRENAGEM DE ÁGUAS PLUVIAIS</t>
  </si>
  <si>
    <t>Planilha Geral de Insumos e Serviços</t>
  </si>
  <si>
    <t>Data:</t>
  </si>
  <si>
    <t>PREÇO UNIT.</t>
  </si>
  <si>
    <t>INSUMOS E SERVIÇOS - SINAPI</t>
  </si>
  <si>
    <t>MÃO-DE-OBRA</t>
  </si>
  <si>
    <t>h</t>
  </si>
  <si>
    <t>Auxiliar de encanador ou bombeiro hidráulico com encargos complementares</t>
  </si>
  <si>
    <t>Registro do contrato junto ao conselho de classe (ART)</t>
  </si>
  <si>
    <t>Encanador ou bombeiro hidráulico com encargos complementares</t>
  </si>
  <si>
    <t>Impermeabilizador com encargos complementares</t>
  </si>
  <si>
    <t>Servente com encargos complementares</t>
  </si>
  <si>
    <t>MATERIAL / EQUIPAMENTO</t>
  </si>
  <si>
    <t>kg</t>
  </si>
  <si>
    <t>SERVIÇOS</t>
  </si>
  <si>
    <t>Carga manual de entulho em caminhão basculante 6m³</t>
  </si>
  <si>
    <t>CM645</t>
  </si>
  <si>
    <t xml:space="preserve">Limpeza final da obra </t>
  </si>
  <si>
    <t>Valor sem OPERAÇÃO E MANUTENÇÃO DO CANTEIRO</t>
  </si>
  <si>
    <t>INSUMOS E SERVIÇOS - MERCADO</t>
  </si>
  <si>
    <t>Anotação de Resposanbilidade Técnica (Faixa 3 - Tabela A - CONFEA)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</si>
  <si>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</si>
  <si>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</si>
  <si>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</si>
  <si>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</si>
  <si>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</si>
  <si>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</si>
  <si>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</si>
  <si>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</si>
  <si>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</si>
  <si>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</si>
  <si>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</si>
  <si>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</si>
  <si>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</si>
  <si>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</si>
  <si>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</si>
  <si>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</si>
  <si>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</si>
  <si>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</si>
  <si>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</si>
  <si>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</si>
  <si>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</si>
  <si>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</si>
  <si>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Cronograma Físico-Financeiro</t>
  </si>
  <si>
    <t>MENSAL</t>
  </si>
  <si>
    <t>VALOR (R$)</t>
  </si>
  <si>
    <t>ACUMULADO</t>
  </si>
  <si>
    <t>CÓDIGO DE ORIGEM</t>
  </si>
  <si>
    <t>ITEM</t>
  </si>
  <si>
    <t>DESCRIÇÃO</t>
  </si>
  <si>
    <t>UN</t>
  </si>
  <si>
    <t>QUANT.</t>
  </si>
  <si>
    <t>PREÇO UNIT. (R$)</t>
  </si>
  <si>
    <t>PREÇO TOTAL (R$)</t>
  </si>
  <si>
    <t>SERVIÇOS PRELIMINARES</t>
  </si>
  <si>
    <t>vb</t>
  </si>
  <si>
    <t>sv</t>
  </si>
  <si>
    <t>m²</t>
  </si>
  <si>
    <t>m</t>
  </si>
  <si>
    <t>m³</t>
  </si>
  <si>
    <t>un</t>
  </si>
  <si>
    <t>SERVIÇOS COMPLEMENTARES</t>
  </si>
  <si>
    <t>VALOR TOTAL SEM BDI</t>
  </si>
  <si>
    <t>MATERIAL</t>
  </si>
  <si>
    <t>BDI</t>
  </si>
  <si>
    <t>VALOR TOTAL COM BDI</t>
  </si>
  <si>
    <t>02.02.301</t>
  </si>
  <si>
    <t>04.01.000</t>
  </si>
  <si>
    <t>ARQUITETURA</t>
  </si>
  <si>
    <t>09.02.000</t>
  </si>
  <si>
    <t>09.02.001</t>
  </si>
  <si>
    <t>10.01.000</t>
  </si>
  <si>
    <t>01.00.000</t>
  </si>
  <si>
    <t>SERVIÇOS TÉCNICOS-PROFISSIONAIS</t>
  </si>
  <si>
    <t>02.00.000</t>
  </si>
  <si>
    <t>04.00.000</t>
  </si>
  <si>
    <t>05.00.000</t>
  </si>
  <si>
    <t>ARQUITETURA E ELEMENTOS DE URBANISMO</t>
  </si>
  <si>
    <t>INSTALAÇÕES HIDRÁULICAS E SANITÁRIAS</t>
  </si>
  <si>
    <t>09.00.000</t>
  </si>
  <si>
    <t>10.00.000</t>
  </si>
  <si>
    <t>SERVIÇOS AUXILIARES E ADMNISTRATIVOS</t>
  </si>
  <si>
    <t>01.08.000</t>
  </si>
  <si>
    <t>TAXAS E EMOLUMENTOS</t>
  </si>
  <si>
    <t>01.08.001</t>
  </si>
  <si>
    <t>02.02.000</t>
  </si>
  <si>
    <t>02.02.300</t>
  </si>
  <si>
    <t>Remoções</t>
  </si>
  <si>
    <t>Composição de BDI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</si>
  <si>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</si>
  <si>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</si>
  <si>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</si>
  <si>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</si>
  <si>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</si>
  <si>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</si>
  <si>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</si>
  <si>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a2</t>
  </si>
  <si>
    <t>Administração Central</t>
  </si>
  <si>
    <t>a3</t>
  </si>
  <si>
    <t>a4</t>
  </si>
  <si>
    <t>Lucro</t>
  </si>
  <si>
    <t>Grupo B</t>
  </si>
  <si>
    <t>% em relação ao valor total VT</t>
  </si>
  <si>
    <t>B1</t>
  </si>
  <si>
    <t>Tributos</t>
  </si>
  <si>
    <t>Pis</t>
  </si>
  <si>
    <t>Cofins</t>
  </si>
  <si>
    <t>Composição de Encargos Sociais - Horista</t>
  </si>
  <si>
    <t>CÓDIGO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</si>
  <si>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</si>
  <si>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</si>
  <si>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</si>
  <si>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</si>
  <si>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</si>
  <si>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</si>
  <si>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</si>
  <si>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</si>
  <si>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</si>
  <si>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</si>
  <si>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</si>
  <si>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</si>
  <si>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</si>
  <si>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</si>
  <si>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</si>
  <si>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</si>
  <si>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</si>
  <si>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</si>
  <si>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</si>
  <si>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</si>
  <si>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</si>
  <si>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</si>
  <si>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</si>
  <si>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</si>
  <si>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</si>
  <si>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</si>
  <si>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</si>
  <si>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</si>
  <si>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</si>
  <si>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</si>
  <si>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</si>
  <si>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</si>
  <si>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</si>
  <si>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</si>
  <si>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</si>
  <si>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</si>
  <si>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</si>
  <si>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</si>
  <si>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</si>
  <si>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</si>
  <si>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Orçamento Sintético</t>
  </si>
  <si>
    <t>Composição de Custos Unitários</t>
  </si>
  <si>
    <t>ISS (2% após desconto das mercadorias aplicadas, conforme percentual descrito no orçamento sintético)</t>
  </si>
  <si>
    <t>Seguro + garantia</t>
  </si>
  <si>
    <t>Risco</t>
  </si>
  <si>
    <t>Despesa Financeira</t>
  </si>
  <si>
    <t>a5</t>
  </si>
  <si>
    <t>BDI = [(((1+(a1+a2+a3))*(1+a4)*(1+a5)))/(1-B1)-1]</t>
  </si>
  <si>
    <t>PRAZO</t>
  </si>
  <si>
    <t>VALOR TOTAL COM BDI (R$)</t>
  </si>
  <si>
    <t>1º ao 30º</t>
  </si>
  <si>
    <t>31º ao 60º</t>
  </si>
  <si>
    <t>04.01.600</t>
  </si>
  <si>
    <t>Impermeabilizações</t>
  </si>
  <si>
    <t>04.01.601</t>
  </si>
  <si>
    <t>04.01.602</t>
  </si>
  <si>
    <t>73924/2</t>
  </si>
  <si>
    <t>Pintura esmalte acetinado, duas demãos, sobre superficie metálica</t>
  </si>
  <si>
    <t>SERVIÇOS DIVERSOS</t>
  </si>
  <si>
    <t>02.02.302</t>
  </si>
  <si>
    <t>Engenheiro civil de obra pleno com encargos complementares</t>
  </si>
  <si>
    <t>m³xKm</t>
  </si>
  <si>
    <t>Ajudante especializado com encargos complementares</t>
  </si>
  <si>
    <t>Transporte com caminhão basculante de 6 m3, em via urbana pavimentada, DMT acima de 30 km (unidade: m3xkm)</t>
  </si>
  <si>
    <t>05.06.000</t>
  </si>
  <si>
    <t>Pedreiro com encargos complementares</t>
  </si>
  <si>
    <t>Regularização de superfície de concreto aparente</t>
  </si>
  <si>
    <t>Impermeabilização de superfície com argamassa polimérica bicomponete, composta por 2 demaõs semi-flexível e 4 demãos flexivel, reforçado com véu de poliéster</t>
  </si>
  <si>
    <t>CM611</t>
  </si>
  <si>
    <t>Véu de poliéster</t>
  </si>
  <si>
    <t>CM832</t>
  </si>
  <si>
    <t>Revestimento impermeabilizante flexível, bicomponente, à base de resinas termoplásticas e cimentos com aditivos e incorporação de fibras sintéticas, Viaplus 7000</t>
  </si>
  <si>
    <t>CM1336</t>
  </si>
  <si>
    <t>Revestimento impermeabilizante semi-flexível, bicomponente - à base de cimentos especiais, adtivos minerais e polímeros, Viaplus 1000</t>
  </si>
  <si>
    <t>Limpeza de superfície com jato de alta pressão</t>
  </si>
  <si>
    <t>Objeto: Recuperação de reservatório de água potável</t>
  </si>
  <si>
    <t>Remoção de sistema impermeabilizante</t>
  </si>
  <si>
    <t>Lixa em folha para ferro, numero 150</t>
  </si>
  <si>
    <t>Remoção de tubo em ferro galvanizado, inclusive registro e demolição do concreto de chumbamento</t>
  </si>
  <si>
    <t>05.03.100</t>
  </si>
  <si>
    <t>Tubulações e Conexões de Ferro Fundido</t>
  </si>
  <si>
    <t>05.03.101</t>
  </si>
  <si>
    <t>Tubo de aço galvanizado com costura Ø 150 mm - 6", inclusive chumbamento e fixação</t>
  </si>
  <si>
    <t>Graute cimenticio para uso geral</t>
  </si>
  <si>
    <t>05.03.102</t>
  </si>
  <si>
    <t>05.06.001</t>
  </si>
  <si>
    <t>Pintura esmalte sobre tubulações</t>
  </si>
  <si>
    <t>Limpeza de contrapiso com vassoura a seco. AF_04/2019</t>
  </si>
  <si>
    <t>Selante de poliuretano monocomponente, hidroexpansivo, tixotrópico, cartucho com 300ml, ref. SikaSwell S-2</t>
  </si>
  <si>
    <t>CM1338</t>
  </si>
  <si>
    <t>02.02.303</t>
  </si>
  <si>
    <t>04.01.603</t>
  </si>
  <si>
    <t>04.01.604</t>
  </si>
  <si>
    <t>Tratamento de microfissuras com selante de poliuretano monocomponente, hidroexpansivo, tixotrópico, cartucho com 300ml, ref. SikaSwell S-2</t>
  </si>
  <si>
    <t>Tubo de aço galvanizado com costura Ø 100 mm - 4", inclusive chumbamento e fixação</t>
  </si>
  <si>
    <t>Tubo aco galvanizado com costura, classe média, dn 4", e = 4,50* mm, peso 12,10* kg/m (NBR 5580)</t>
  </si>
  <si>
    <t>Tubo aco galvanizado com costura, classe média, dn 6", e = 4,85* mm, peso 19,68* kg/m (NBR 5580)</t>
  </si>
  <si>
    <t>05.03.103</t>
  </si>
  <si>
    <t>Registro de gaveta bruto, latão, roscável, 4", instalado em reservação de água de edificação que possua reservatório de fibra/fibrocimento fornecimento e instalação</t>
  </si>
  <si>
    <t>Hidrômetro Tipo Woltmann DN 80mm ref. H5000 com conexões contra-flange, , fab. Honeywell Elster e conectores RM 79x3''</t>
  </si>
  <si>
    <t>Hidrômetro Woltmann 65mm, ref. H5000, fab. Honeywell Elster, com conexões contra-flange - marca Elster/Honeywell e conectores RM 66x2 1/2''</t>
  </si>
  <si>
    <t xml:space="preserve">Hidrômetro ultrassônico DN 40mm, ref. Hydrus, fab. Diehl, com conectores RF 42X1 1/2'' </t>
  </si>
  <si>
    <t>Hidrômetro ultrassônico DN 25mm, ref. Hydrus, fab. Diehl, com conectores RF 28x1"</t>
  </si>
  <si>
    <t>Montador (tubo aço / equipamentos) com encargos complementares</t>
  </si>
  <si>
    <t>CM1273</t>
  </si>
  <si>
    <t>CM1346</t>
  </si>
  <si>
    <t>Hidrômetro ultrassônico DN 50mm, ref. Hydrus, fab. Diehl</t>
  </si>
  <si>
    <t>CM1332</t>
  </si>
  <si>
    <t>Hidrômetro ultrassônico DN 40mm, ref. Hydrus, fab. Diehl</t>
  </si>
  <si>
    <t>CM1347</t>
  </si>
  <si>
    <t>Hidrômetro ultrassônico DN 25mm, ref. Hydrus, fab. Diehl</t>
  </si>
  <si>
    <t>Transporte de material – bota-fora, D.M.T = 40,0 km</t>
  </si>
  <si>
    <t>CM1348</t>
  </si>
  <si>
    <t>CM1349</t>
  </si>
  <si>
    <t>Hidrômetro Woltmann, vazão máxima de 80,0 m³/h, de 3"</t>
  </si>
  <si>
    <t>CM1351</t>
  </si>
  <si>
    <t>Conector cobre RM 66x2 1/2''</t>
  </si>
  <si>
    <t>Conector cobre RM 79x3''</t>
  </si>
  <si>
    <t>Contra flange 2" para hidrômetro</t>
  </si>
  <si>
    <t>CM1352</t>
  </si>
  <si>
    <t>CM1353</t>
  </si>
  <si>
    <t>CM1354</t>
  </si>
  <si>
    <t>CM1355</t>
  </si>
  <si>
    <t xml:space="preserve">Conector cobre RF 42X1 1/2'' </t>
  </si>
  <si>
    <t>Conector cobre RM 54x2"</t>
  </si>
  <si>
    <t>Conector cobre RF 28x1"</t>
  </si>
  <si>
    <t>CM617</t>
  </si>
  <si>
    <t>Válvula de gaveta classe 125, em ferro fundido Ø 150mm (6"), extremidades flangeadas</t>
  </si>
  <si>
    <t>05.03.104</t>
  </si>
  <si>
    <t>05.03.105</t>
  </si>
  <si>
    <t>05.03.106</t>
  </si>
  <si>
    <t>05.03.107</t>
  </si>
  <si>
    <t>05.03.108</t>
  </si>
  <si>
    <t>05.03.109</t>
  </si>
  <si>
    <t>10.01.001</t>
  </si>
  <si>
    <t>Local: Eixo Monumental, Praça do Buriti, lote 02, Brasília-DF</t>
  </si>
  <si>
    <t>Contra flange em ferro galvanizado, com rosca fêmea BSP 6"</t>
  </si>
  <si>
    <t>Hidrômetro Woltmann, diâmetro DN65, ref. H5000, fab. Honeywell Elster, inclusive contra flanges</t>
  </si>
  <si>
    <t>CM1198</t>
  </si>
  <si>
    <t>Contra flange em ferro galvanizado, com rosca fêmea BSP 3"</t>
  </si>
  <si>
    <t>Hidrômetro ultrassônico DN 50mm, ref. Hydrus, fab. Diehl, com conexões contra-flange e conectores RM 54x2'';</t>
  </si>
  <si>
    <t>02.02.304</t>
  </si>
  <si>
    <t>Desmontagem com reaproveitamento de paineis em ACM que revestem o reservatório superior</t>
  </si>
  <si>
    <t>Remontagem de paineis em ACM que revestem o reservatório superior</t>
  </si>
  <si>
    <t>04.01.500</t>
  </si>
  <si>
    <t>Revestimentos</t>
  </si>
  <si>
    <t>04.01.530</t>
  </si>
  <si>
    <t>Revestimento de paredes</t>
  </si>
  <si>
    <t>04.01.531</t>
  </si>
  <si>
    <t>310ml</t>
  </si>
  <si>
    <t>Instruções de Preenchimento do Modelo de Proposta</t>
  </si>
  <si>
    <t>CONSIDERAÇÕES GERAIS</t>
  </si>
  <si>
    <t>Sugerimos a seguinte sequência de preenchimento de planilhas:</t>
  </si>
  <si>
    <t>2.1</t>
  </si>
  <si>
    <t>2.2</t>
  </si>
  <si>
    <t>2.3</t>
  </si>
  <si>
    <t>2.4</t>
  </si>
  <si>
    <t>2.5</t>
  </si>
  <si>
    <t>SOBRE A PLANILHA DE ORÇAMENTO SINTÉTICO</t>
  </si>
  <si>
    <t>SOBRE A PLANILHA DE COMPOSIÇÃO DE CUSTOS UNITÁRIOS (CCU's)</t>
  </si>
  <si>
    <t>Esta planilha contem vínculos. Tornando-se dependente dos preços, descrições e unidades constantes tanto na Planilha Geral de Insumos e Serviços quanto na Planilha de Orçamento Sintético;</t>
  </si>
  <si>
    <t>Os valores unitários de serviços compostos nesta planilha, são transportados automaticamente para a Planilha de Orçamento Sintético;</t>
  </si>
  <si>
    <t>SOBRE A PLANILHA GERAL DE INSUMOS E SERVIÇOS</t>
  </si>
  <si>
    <t>Esta planilha constitui a base para estruturação dos preços unitários e totais.</t>
  </si>
  <si>
    <t>Valide os valores constantes neste arquivo. Em consoância com o edital aqueles são os valores máximos adimitidos, desta forma, é facultado à Licitante sua manutenção ou diminuição.</t>
  </si>
  <si>
    <t>D</t>
  </si>
  <si>
    <t>SOBRE A PLANILHA DE COMPOSIÇÃO DE BDI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</si>
  <si>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</si>
  <si>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</si>
  <si>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Composição de Custo Total.</t>
  </si>
  <si>
    <t>E</t>
  </si>
  <si>
    <t>SOBRE A PLANILHA DE COMPOSIÇÃO DE ENCARGOS SOCIAIS</t>
  </si>
  <si>
    <t>E1</t>
  </si>
  <si>
    <t>Esta planilha é meramente demonstrativa (não influi sobre o valor final do orçamento), mas seu resultado é transportado automaticamente para a Planilha de Custo Total.</t>
  </si>
  <si>
    <t>F</t>
  </si>
  <si>
    <t>SOBRE O CRONOGRAMA FÍSICO-FINANCEIRO</t>
  </si>
  <si>
    <t>F.1</t>
  </si>
  <si>
    <t>Os itens e valores desta planiha são provenientes da Planilha de Orçamento Sintético;</t>
  </si>
  <si>
    <t>F.2</t>
  </si>
  <si>
    <t>As etapas a serem executadas mensalmente, deverão ser informadas na linha do percentual, e os valores serão preenchidos automaticamente;</t>
  </si>
  <si>
    <t>F.3</t>
  </si>
  <si>
    <t>O ajuste final (última etapa) de um determinado item, deverá respeitar a fórmula inserida no último mês do cronograma, transportando-a quando necessário.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</si>
  <si>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</si>
  <si>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r>
      <t xml:space="preserve">Valide os valores constantes na </t>
    </r>
    <r>
      <rPr>
        <b/>
        <sz val="8"/>
        <rFont val="Arial"/>
        <family val="2"/>
      </rPr>
      <t>Planilha Geral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. Em consoância com o edital aqueles são os valores máximos adimitidos, desta forma, é facultado à Licitante sua manutenção ou diminuição.</t>
    </r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</si>
  <si>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Composição de Custos Unitários</t>
    </r>
    <r>
      <rPr>
        <sz val="8"/>
        <rFont val="Arial"/>
        <family val="2"/>
      </rPr>
      <t>.</t>
    </r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</si>
  <si>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</si>
  <si>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</si>
  <si>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r>
      <t xml:space="preserve">A Planilha Orçamentária </t>
    </r>
    <r>
      <rPr>
        <b/>
        <u val="single"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</si>
  <si>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Os preços unitários desta planilha estão vinculados, por dependência, às demais planilhas (CCU's, Planilha Geral de Insumos e Serviços). Desta forma </t>
    </r>
    <r>
      <rPr>
        <b/>
        <u val="single"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</si>
  <si>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</si>
  <si>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r>
      <t xml:space="preserve">Indique a marca e modelo dos itens (quando aplicável). </t>
    </r>
    <r>
      <rPr>
        <b/>
        <u val="single"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</si>
  <si>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</si>
  <si>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Licitação:</t>
  </si>
  <si>
    <t>Razão Social:</t>
  </si>
  <si>
    <t>CNPJ:</t>
  </si>
  <si>
    <t>Contato:</t>
  </si>
  <si>
    <t>P. Validade:</t>
  </si>
  <si>
    <t>P. Execução:</t>
  </si>
  <si>
    <t>P. Garantia:</t>
  </si>
  <si>
    <t>Telefone / email:</t>
  </si>
  <si>
    <t>MARCA</t>
  </si>
  <si>
    <t>MODELO</t>
  </si>
  <si>
    <t>Telefone:</t>
  </si>
  <si>
    <t>E-mail:</t>
  </si>
  <si>
    <t>*********</t>
  </si>
  <si>
    <t>Selante elastomérico de polímero híbrido</t>
  </si>
  <si>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A52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</si>
</sst>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dd/mm/yy"/>
    <numFmt numFmtId="172" formatCode="#,##0.0000"/>
    <numFmt numFmtId="173" formatCode="0.0000"/>
    <numFmt numFmtId="174" formatCode="#,##0.00000"/>
    <numFmt numFmtId="175" formatCode="00,000,000"/>
    <numFmt numFmtId="176" formatCode="_(&quot;R$ &quot;* #,##0.00_);_(&quot;R$ &quot;* \(#,##0.00\);_(&quot;R$ &quot;* \-??_);_(@_)"/>
    <numFmt numFmtId="177" formatCode="0.000%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R$ &quot;* #,##0.00_);_(&quot;R$ &quot;* \(#,##0.00\);_(&quot;R$ &quot;* &quot;-&quot;??_);_(@_)"/>
    <numFmt numFmtId="183" formatCode="_(&quot;R$ &quot;* #,##0_);_(&quot;R$ &quot;* \(#,##0\);_(&quot;R$ &quot;* &quot;-&quot;_);_(@_)"/>
    <numFmt numFmtId="184" formatCode="_(* #,##0_);_(* \(#,##0\);_(* &quot;-&quot;_);_(@_)"/>
    <numFmt numFmtId="185" formatCode="&quot;R$ &quot;#,##0;&quot;-R$ &quot;#,##0"/>
    <numFmt numFmtId="186" formatCode="0.000"/>
    <numFmt numFmtId="187" formatCode="_ * #,##0.00_ ;_ * \-#,##0.00_ ;_ * \-??_ ;_ @_ "/>
    <numFmt numFmtId="188" formatCode="_-&quot;R$ &quot;* #,##0.00_-;&quot;-R$ &quot;* #,##0.00_-;_-&quot;R$ &quot;* \-??_-;_-@_-"/>
    <numFmt numFmtId="189" formatCode="_-* #,##0.00_-;\-* #,##0.00_-;_-* \-??_-;_-@_-"/>
    <numFmt numFmtId="190" formatCode="_(* #,##0.00_);_(* \(#,##0.00\);_(* &quot;-&quot;??_);_(@_)"/>
    <numFmt numFmtId="191" formatCode="0.0000%"/>
    <numFmt numFmtId="192" formatCode="0.0"/>
    <numFmt numFmtId="193" formatCode="#,##0.0"/>
    <numFmt numFmtId="194" formatCode="0.0%"/>
    <numFmt numFmtId="195" formatCode="[$-416]dddd\,\ d&quot; de &quot;mmmm&quot; de &quot;yyyy"/>
    <numFmt numFmtId="196" formatCode="* #,##0.00\ ;* \(#,##0.00\);* \-#\ ;@\ "/>
    <numFmt numFmtId="197" formatCode="&quot;Ativado&quot;;&quot;Ativado&quot;;&quot;Desativado&quot;"/>
    <numFmt numFmtId="198" formatCode="0.0000000"/>
    <numFmt numFmtId="199" formatCode="0.000000"/>
    <numFmt numFmtId="200" formatCode="0.00000"/>
    <numFmt numFmtId="201" formatCode="d/m/yy;@"/>
    <numFmt numFmtId="202" formatCode="dd/mm/yy;@"/>
  </numFmts>
  <fonts count="43">
    <font>
      <sz val="10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8"/>
      <color indexed="8"/>
      <name val="Arial"/>
      <family val="2"/>
    </font>
    <font>
      <u val="single"/>
      <sz val="7.5"/>
      <color indexed="12"/>
      <name val="Arial"/>
      <family val="2"/>
    </font>
    <font>
      <b/>
      <i/>
      <sz val="14"/>
      <name val="Arial"/>
      <family val="2"/>
    </font>
    <font>
      <sz val="4"/>
      <color indexed="8"/>
      <name val="Arial"/>
      <family val="2"/>
    </font>
    <font>
      <sz val="4"/>
      <name val="Arial"/>
      <family val="2"/>
    </font>
    <font>
      <sz val="8"/>
      <color indexed="10"/>
      <name val="Arial"/>
      <family val="2"/>
    </font>
    <font>
      <sz val="2.5"/>
      <color indexed="8"/>
      <name val="Arial"/>
      <family val="2"/>
    </font>
    <font>
      <sz val="2.1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7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2" borderId="2" applyNumberFormat="0" applyAlignment="0" applyProtection="0"/>
    <xf numFmtId="0" fontId="14" fillId="33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32" borderId="2" applyNumberFormat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35" borderId="0" applyNumberFormat="0" applyBorder="0" applyAlignment="0" applyProtection="0"/>
    <xf numFmtId="0" fontId="11" fillId="21" borderId="0" applyNumberFormat="0" applyBorder="0" applyAlignment="0" applyProtection="0"/>
    <xf numFmtId="0" fontId="11" fillId="36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7" borderId="0" applyNumberFormat="0" applyBorder="0" applyAlignment="0" applyProtection="0"/>
    <xf numFmtId="0" fontId="16" fillId="7" borderId="1" applyNumberFormat="0" applyAlignment="0" applyProtection="0"/>
    <xf numFmtId="0" fontId="16" fillId="9" borderId="1" applyNumberFormat="0" applyAlignment="0" applyProtection="0"/>
    <xf numFmtId="170" fontId="1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8" borderId="0" applyNumberFormat="0" applyBorder="0" applyAlignment="0" applyProtection="0"/>
    <xf numFmtId="0" fontId="16" fillId="7" borderId="1" applyNumberFormat="0" applyAlignment="0" applyProtection="0"/>
    <xf numFmtId="0" fontId="15" fillId="0" borderId="3" applyNumberFormat="0" applyFill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0" borderId="7" applyNumberFormat="0" applyFont="0" applyAlignment="0" applyProtection="0"/>
    <xf numFmtId="0" fontId="0" fillId="10" borderId="7" applyNumberFormat="0" applyAlignment="0" applyProtection="0"/>
    <xf numFmtId="0" fontId="0" fillId="40" borderId="7" applyNumberFormat="0" applyFont="0" applyAlignment="0" applyProtection="0"/>
    <xf numFmtId="0" fontId="19" fillId="30" borderId="8" applyNumberFormat="0" applyAlignment="0" applyProtection="0"/>
    <xf numFmtId="9" fontId="0" fillId="0" borderId="0" applyFill="0" applyBorder="0" applyAlignment="0" applyProtection="0"/>
    <xf numFmtId="0" fontId="19" fillId="30" borderId="8" applyNumberFormat="0" applyAlignment="0" applyProtection="0"/>
    <xf numFmtId="0" fontId="19" fillId="31" borderId="8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ill="0" applyBorder="0" applyAlignment="0" applyProtection="0"/>
    <xf numFmtId="185" fontId="0" fillId="0" borderId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0" borderId="4" applyNumberFormat="0" applyFill="0" applyAlignment="0" applyProtection="0"/>
    <xf numFmtId="0" fontId="28" fillId="0" borderId="9" applyNumberFormat="0" applyFill="0" applyAlignment="0" applyProtection="0"/>
    <xf numFmtId="0" fontId="24" fillId="0" borderId="5" applyNumberFormat="0" applyFill="0" applyAlignment="0" applyProtection="0"/>
    <xf numFmtId="0" fontId="29" fillId="0" borderId="5" applyNumberFormat="0" applyFill="0" applyAlignment="0" applyProtection="0"/>
    <xf numFmtId="0" fontId="25" fillId="0" borderId="6" applyNumberFormat="0" applyFill="0" applyAlignment="0" applyProtection="0"/>
    <xf numFmtId="0" fontId="30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2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137" applyFont="1">
      <alignment/>
      <protection/>
    </xf>
    <xf numFmtId="4" fontId="2" fillId="0" borderId="0" xfId="137" applyNumberFormat="1" applyFont="1">
      <alignment/>
      <protection/>
    </xf>
    <xf numFmtId="0" fontId="0" fillId="0" borderId="0" xfId="137" applyFont="1" applyFill="1">
      <alignment/>
      <protection/>
    </xf>
    <xf numFmtId="0" fontId="2" fillId="0" borderId="0" xfId="137" applyFont="1" applyAlignment="1">
      <alignment horizontal="center"/>
      <protection/>
    </xf>
    <xf numFmtId="0" fontId="0" fillId="0" borderId="0" xfId="136" applyFont="1" applyFill="1">
      <alignment/>
      <protection/>
    </xf>
    <xf numFmtId="0" fontId="0" fillId="0" borderId="0" xfId="136" applyFont="1" applyFill="1" applyAlignment="1">
      <alignment wrapText="1"/>
      <protection/>
    </xf>
    <xf numFmtId="0" fontId="0" fillId="0" borderId="0" xfId="136" applyFont="1" applyFill="1" applyAlignment="1">
      <alignment horizontal="center"/>
      <protection/>
    </xf>
    <xf numFmtId="0" fontId="0" fillId="0" borderId="0" xfId="136">
      <alignment/>
      <protection/>
    </xf>
    <xf numFmtId="4" fontId="4" fillId="41" borderId="13" xfId="136" applyNumberFormat="1" applyFont="1" applyFill="1" applyBorder="1" applyAlignment="1">
      <alignment horizontal="center" vertical="distributed" wrapText="1"/>
      <protection/>
    </xf>
    <xf numFmtId="0" fontId="7" fillId="0" borderId="0" xfId="136" applyFont="1" applyFill="1">
      <alignment/>
      <protection/>
    </xf>
    <xf numFmtId="0" fontId="6" fillId="0" borderId="14" xfId="141" applyNumberFormat="1" applyFont="1" applyFill="1" applyBorder="1" applyAlignment="1">
      <alignment horizontal="center" vertical="distributed" wrapText="1"/>
      <protection/>
    </xf>
    <xf numFmtId="10" fontId="6" fillId="0" borderId="15" xfId="162" applyNumberFormat="1" applyFont="1" applyFill="1" applyBorder="1" applyAlignment="1" applyProtection="1">
      <alignment horizontal="center" vertical="distributed" wrapText="1"/>
      <protection/>
    </xf>
    <xf numFmtId="0" fontId="6" fillId="0" borderId="16" xfId="141" applyNumberFormat="1" applyFont="1" applyFill="1" applyBorder="1" applyAlignment="1">
      <alignment horizontal="center" vertical="distributed" wrapText="1"/>
      <protection/>
    </xf>
    <xf numFmtId="10" fontId="6" fillId="0" borderId="17" xfId="162" applyNumberFormat="1" applyFont="1" applyFill="1" applyBorder="1" applyAlignment="1" applyProtection="1">
      <alignment horizontal="center" vertical="distributed" wrapText="1"/>
      <protection/>
    </xf>
    <xf numFmtId="0" fontId="6" fillId="0" borderId="18" xfId="141" applyNumberFormat="1" applyFont="1" applyFill="1" applyBorder="1" applyAlignment="1">
      <alignment horizontal="center" vertical="distributed" wrapText="1"/>
      <protection/>
    </xf>
    <xf numFmtId="10" fontId="6" fillId="0" borderId="19" xfId="162" applyNumberFormat="1" applyFont="1" applyFill="1" applyBorder="1" applyAlignment="1" applyProtection="1">
      <alignment horizontal="center" vertical="distributed" wrapText="1"/>
      <protection/>
    </xf>
    <xf numFmtId="0" fontId="5" fillId="0" borderId="20" xfId="141" applyNumberFormat="1" applyFont="1" applyFill="1" applyBorder="1" applyAlignment="1">
      <alignment horizontal="center" vertical="distributed" wrapText="1"/>
      <protection/>
    </xf>
    <xf numFmtId="10" fontId="5" fillId="0" borderId="21" xfId="162" applyNumberFormat="1" applyFont="1" applyFill="1" applyBorder="1" applyAlignment="1" applyProtection="1">
      <alignment horizontal="center" vertical="distributed" wrapText="1"/>
      <protection/>
    </xf>
    <xf numFmtId="10" fontId="5" fillId="11" borderId="21" xfId="162" applyNumberFormat="1" applyFont="1" applyFill="1" applyBorder="1" applyAlignment="1" applyProtection="1">
      <alignment horizontal="center" vertical="distributed" wrapText="1"/>
      <protection/>
    </xf>
    <xf numFmtId="0" fontId="4" fillId="0" borderId="22" xfId="137" applyFont="1" applyBorder="1" applyAlignment="1">
      <alignment horizontal="right" vertical="top" wrapText="1"/>
      <protection/>
    </xf>
    <xf numFmtId="4" fontId="4" fillId="0" borderId="16" xfId="137" applyNumberFormat="1" applyFont="1" applyBorder="1" applyAlignment="1">
      <alignment horizontal="right" vertical="top" wrapText="1"/>
      <protection/>
    </xf>
    <xf numFmtId="0" fontId="4" fillId="0" borderId="17" xfId="137" applyFont="1" applyBorder="1" applyAlignment="1">
      <alignment horizontal="right" vertical="top" wrapText="1"/>
      <protection/>
    </xf>
    <xf numFmtId="0" fontId="4" fillId="0" borderId="23" xfId="137" applyFont="1" applyBorder="1" applyAlignment="1">
      <alignment horizontal="right" vertical="top" wrapText="1"/>
      <protection/>
    </xf>
    <xf numFmtId="0" fontId="4" fillId="0" borderId="18" xfId="137" applyFont="1" applyBorder="1" applyAlignment="1">
      <alignment horizontal="right" vertical="top" wrapText="1"/>
      <protection/>
    </xf>
    <xf numFmtId="177" fontId="4" fillId="0" borderId="19" xfId="137" applyNumberFormat="1" applyFont="1" applyBorder="1" applyAlignment="1">
      <alignment horizontal="right" vertical="top" wrapText="1"/>
      <protection/>
    </xf>
    <xf numFmtId="0" fontId="4" fillId="0" borderId="16" xfId="137" applyFont="1" applyBorder="1" applyAlignment="1">
      <alignment horizontal="right" vertical="top" wrapText="1"/>
      <protection/>
    </xf>
    <xf numFmtId="0" fontId="4" fillId="0" borderId="19" xfId="137" applyFont="1" applyBorder="1" applyAlignment="1">
      <alignment horizontal="right" vertical="top" wrapText="1"/>
      <protection/>
    </xf>
    <xf numFmtId="4" fontId="2" fillId="0" borderId="0" xfId="137" applyNumberFormat="1" applyFont="1" applyAlignment="1">
      <alignment horizontal="right"/>
      <protection/>
    </xf>
    <xf numFmtId="0" fontId="4" fillId="0" borderId="24" xfId="137" applyNumberFormat="1" applyFont="1" applyFill="1" applyBorder="1" applyAlignment="1">
      <alignment horizontal="center" vertical="center" wrapText="1"/>
      <protection/>
    </xf>
    <xf numFmtId="0" fontId="4" fillId="0" borderId="24" xfId="137" applyNumberFormat="1" applyFont="1" applyFill="1" applyBorder="1" applyAlignment="1">
      <alignment horizontal="justify" vertical="center" wrapText="1"/>
      <protection/>
    </xf>
    <xf numFmtId="0" fontId="6" fillId="0" borderId="24" xfId="137" applyNumberFormat="1" applyFont="1" applyFill="1" applyBorder="1" applyAlignment="1">
      <alignment horizontal="center" vertical="center" wrapText="1" shrinkToFit="1"/>
      <protection/>
    </xf>
    <xf numFmtId="0" fontId="2" fillId="0" borderId="24" xfId="137" applyFont="1" applyFill="1" applyBorder="1" applyAlignment="1">
      <alignment vertical="center" wrapText="1"/>
      <protection/>
    </xf>
    <xf numFmtId="4" fontId="2" fillId="0" borderId="24" xfId="135" applyNumberFormat="1" applyFont="1" applyFill="1" applyBorder="1" applyAlignment="1">
      <alignment horizontal="right" vertical="center" wrapText="1"/>
      <protection/>
    </xf>
    <xf numFmtId="0" fontId="2" fillId="0" borderId="24" xfId="135" applyNumberFormat="1" applyFont="1" applyFill="1" applyBorder="1" applyAlignment="1">
      <alignment horizontal="center" vertical="center" wrapText="1"/>
      <protection/>
    </xf>
    <xf numFmtId="4" fontId="4" fillId="11" borderId="24" xfId="135" applyNumberFormat="1" applyFont="1" applyFill="1" applyBorder="1" applyAlignment="1">
      <alignment horizontal="center" vertical="center" wrapText="1"/>
      <protection/>
    </xf>
    <xf numFmtId="4" fontId="4" fillId="11" borderId="24" xfId="135" applyNumberFormat="1" applyFont="1" applyFill="1" applyBorder="1" applyAlignment="1">
      <alignment horizontal="justify" vertical="center" wrapText="1"/>
      <protection/>
    </xf>
    <xf numFmtId="172" fontId="4" fillId="11" borderId="24" xfId="137" applyNumberFormat="1" applyFont="1" applyFill="1" applyBorder="1" applyAlignment="1">
      <alignment horizontal="center" vertical="center" wrapText="1"/>
      <protection/>
    </xf>
    <xf numFmtId="4" fontId="2" fillId="42" borderId="24" xfId="135" applyNumberFormat="1" applyFont="1" applyFill="1" applyBorder="1" applyAlignment="1">
      <alignment horizontal="right" vertical="center" wrapText="1"/>
      <protection/>
    </xf>
    <xf numFmtId="4" fontId="4" fillId="11" borderId="24" xfId="137" applyNumberFormat="1" applyFont="1" applyFill="1" applyBorder="1" applyAlignment="1">
      <alignment horizontal="right" vertical="center" wrapText="1"/>
      <protection/>
    </xf>
    <xf numFmtId="4" fontId="4" fillId="0" borderId="24" xfId="135" applyNumberFormat="1" applyFont="1" applyFill="1" applyBorder="1" applyAlignment="1">
      <alignment horizontal="center" vertical="center" wrapText="1"/>
      <protection/>
    </xf>
    <xf numFmtId="4" fontId="4" fillId="0" borderId="24" xfId="137" applyNumberFormat="1" applyFont="1" applyFill="1" applyBorder="1" applyAlignment="1">
      <alignment horizontal="right" vertical="center" wrapText="1"/>
      <protection/>
    </xf>
    <xf numFmtId="4" fontId="4" fillId="11" borderId="24" xfId="137" applyNumberFormat="1" applyFont="1" applyFill="1" applyBorder="1" applyAlignment="1">
      <alignment horizontal="center" vertical="center" wrapText="1"/>
      <protection/>
    </xf>
    <xf numFmtId="0" fontId="0" fillId="0" borderId="0" xfId="137" applyFont="1" applyFill="1" applyBorder="1">
      <alignment/>
      <protection/>
    </xf>
    <xf numFmtId="4" fontId="4" fillId="43" borderId="24" xfId="135" applyNumberFormat="1" applyFont="1" applyFill="1" applyBorder="1" applyAlignment="1">
      <alignment horizontal="center" vertical="center" wrapText="1"/>
      <protection/>
    </xf>
    <xf numFmtId="4" fontId="4" fillId="43" borderId="24" xfId="135" applyNumberFormat="1" applyFont="1" applyFill="1" applyBorder="1" applyAlignment="1">
      <alignment horizontal="justify" vertical="center" wrapText="1"/>
      <protection/>
    </xf>
    <xf numFmtId="172" fontId="4" fillId="43" borderId="24" xfId="137" applyNumberFormat="1" applyFont="1" applyFill="1" applyBorder="1" applyAlignment="1">
      <alignment horizontal="center" vertical="center" wrapText="1"/>
      <protection/>
    </xf>
    <xf numFmtId="4" fontId="4" fillId="43" borderId="24" xfId="137" applyNumberFormat="1" applyFont="1" applyFill="1" applyBorder="1" applyAlignment="1">
      <alignment horizontal="right" vertical="center" wrapText="1"/>
      <protection/>
    </xf>
    <xf numFmtId="4" fontId="4" fillId="44" borderId="24" xfId="135" applyNumberFormat="1" applyFont="1" applyFill="1" applyBorder="1" applyAlignment="1">
      <alignment horizontal="center" vertical="center" wrapText="1"/>
      <protection/>
    </xf>
    <xf numFmtId="4" fontId="4" fillId="44" borderId="24" xfId="135" applyNumberFormat="1" applyFont="1" applyFill="1" applyBorder="1" applyAlignment="1">
      <alignment horizontal="justify" vertical="center" wrapText="1"/>
      <protection/>
    </xf>
    <xf numFmtId="172" fontId="4" fillId="44" borderId="24" xfId="137" applyNumberFormat="1" applyFont="1" applyFill="1" applyBorder="1" applyAlignment="1">
      <alignment horizontal="center" vertical="center" wrapText="1"/>
      <protection/>
    </xf>
    <xf numFmtId="4" fontId="4" fillId="44" borderId="24" xfId="137" applyNumberFormat="1" applyFont="1" applyFill="1" applyBorder="1" applyAlignment="1">
      <alignment horizontal="right" vertical="center" wrapText="1"/>
      <protection/>
    </xf>
    <xf numFmtId="0" fontId="6" fillId="0" borderId="0" xfId="137" applyFont="1" applyFill="1">
      <alignment/>
      <protection/>
    </xf>
    <xf numFmtId="4" fontId="4" fillId="44" borderId="25" xfId="135" applyNumberFormat="1" applyFont="1" applyFill="1" applyBorder="1" applyAlignment="1">
      <alignment horizontal="center" vertical="center" wrapText="1"/>
      <protection/>
    </xf>
    <xf numFmtId="4" fontId="4" fillId="44" borderId="25" xfId="135" applyNumberFormat="1" applyFont="1" applyFill="1" applyBorder="1" applyAlignment="1">
      <alignment horizontal="justify" vertical="center" wrapText="1"/>
      <protection/>
    </xf>
    <xf numFmtId="172" fontId="4" fillId="44" borderId="25" xfId="137" applyNumberFormat="1" applyFont="1" applyFill="1" applyBorder="1" applyAlignment="1">
      <alignment horizontal="center" vertical="center" wrapText="1"/>
      <protection/>
    </xf>
    <xf numFmtId="4" fontId="4" fillId="44" borderId="25" xfId="137" applyNumberFormat="1" applyFont="1" applyFill="1" applyBorder="1" applyAlignment="1">
      <alignment horizontal="right" vertical="center" wrapText="1"/>
      <protection/>
    </xf>
    <xf numFmtId="0" fontId="2" fillId="0" borderId="26" xfId="137" applyFont="1" applyBorder="1" applyAlignment="1">
      <alignment/>
      <protection/>
    </xf>
    <xf numFmtId="0" fontId="2" fillId="0" borderId="0" xfId="137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27" xfId="137" applyFont="1" applyBorder="1" applyAlignment="1">
      <alignment horizontal="center"/>
      <protection/>
    </xf>
    <xf numFmtId="0" fontId="2" fillId="0" borderId="26" xfId="137" applyFont="1" applyBorder="1" applyAlignment="1">
      <alignment horizontal="center"/>
      <protection/>
    </xf>
    <xf numFmtId="0" fontId="2" fillId="0" borderId="28" xfId="137" applyFont="1" applyFill="1" applyBorder="1" applyAlignment="1">
      <alignment/>
      <protection/>
    </xf>
    <xf numFmtId="0" fontId="2" fillId="0" borderId="29" xfId="137" applyFont="1" applyFill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31" fillId="0" borderId="29" xfId="137" applyFont="1" applyFill="1" applyBorder="1" applyAlignment="1">
      <alignment horizontal="center"/>
      <protection/>
    </xf>
    <xf numFmtId="0" fontId="31" fillId="0" borderId="30" xfId="137" applyFont="1" applyFill="1" applyBorder="1" applyAlignment="1">
      <alignment horizontal="center"/>
      <protection/>
    </xf>
    <xf numFmtId="0" fontId="35" fillId="0" borderId="0" xfId="137" applyFont="1" applyFill="1">
      <alignment/>
      <protection/>
    </xf>
    <xf numFmtId="0" fontId="33" fillId="0" borderId="31" xfId="137" applyFont="1" applyFill="1" applyBorder="1" applyAlignment="1">
      <alignment/>
      <protection/>
    </xf>
    <xf numFmtId="0" fontId="2" fillId="0" borderId="27" xfId="137" applyFont="1" applyFill="1" applyBorder="1" applyAlignment="1">
      <alignment horizontal="center"/>
      <protection/>
    </xf>
    <xf numFmtId="0" fontId="6" fillId="0" borderId="0" xfId="136" applyFont="1">
      <alignment/>
      <protection/>
    </xf>
    <xf numFmtId="0" fontId="35" fillId="0" borderId="0" xfId="136" applyFont="1">
      <alignment/>
      <protection/>
    </xf>
    <xf numFmtId="0" fontId="6" fillId="0" borderId="32" xfId="141" applyFont="1" applyFill="1" applyBorder="1" applyAlignment="1">
      <alignment vertical="distributed" wrapText="1"/>
      <protection/>
    </xf>
    <xf numFmtId="0" fontId="6" fillId="0" borderId="33" xfId="141" applyFont="1" applyFill="1" applyBorder="1" applyAlignment="1">
      <alignment vertical="distributed" wrapText="1"/>
      <protection/>
    </xf>
    <xf numFmtId="171" fontId="6" fillId="0" borderId="32" xfId="141" applyNumberFormat="1" applyFont="1" applyFill="1" applyBorder="1" applyAlignment="1">
      <alignment vertical="distributed" wrapText="1"/>
      <protection/>
    </xf>
    <xf numFmtId="171" fontId="6" fillId="0" borderId="33" xfId="141" applyNumberFormat="1" applyFont="1" applyFill="1" applyBorder="1" applyAlignment="1">
      <alignment vertical="distributed" wrapText="1"/>
      <protection/>
    </xf>
    <xf numFmtId="0" fontId="2" fillId="0" borderId="0" xfId="0" applyFont="1" applyAlignment="1">
      <alignment/>
    </xf>
    <xf numFmtId="0" fontId="6" fillId="0" borderId="34" xfId="141" applyFont="1" applyFill="1" applyBorder="1" applyAlignment="1">
      <alignment vertical="distributed" wrapText="1"/>
      <protection/>
    </xf>
    <xf numFmtId="0" fontId="6" fillId="0" borderId="32" xfId="141" applyFont="1" applyBorder="1" applyAlignment="1">
      <alignment vertical="distributed" wrapText="1"/>
      <protection/>
    </xf>
    <xf numFmtId="0" fontId="6" fillId="0" borderId="35" xfId="141" applyFont="1" applyFill="1" applyBorder="1" applyAlignment="1">
      <alignment vertical="distributed" wrapText="1"/>
      <protection/>
    </xf>
    <xf numFmtId="0" fontId="5" fillId="0" borderId="36" xfId="141" applyFont="1" applyFill="1" applyBorder="1" applyAlignment="1">
      <alignment vertical="distributed" wrapText="1"/>
      <protection/>
    </xf>
    <xf numFmtId="0" fontId="6" fillId="0" borderId="37" xfId="141" applyFont="1" applyFill="1" applyBorder="1" applyAlignment="1">
      <alignment vertical="distributed" wrapText="1"/>
      <protection/>
    </xf>
    <xf numFmtId="0" fontId="6" fillId="0" borderId="33" xfId="141" applyFont="1" applyBorder="1" applyAlignment="1">
      <alignment vertical="distributed" wrapText="1"/>
      <protection/>
    </xf>
    <xf numFmtId="0" fontId="6" fillId="0" borderId="38" xfId="141" applyFont="1" applyFill="1" applyBorder="1" applyAlignment="1">
      <alignment vertical="distributed" wrapText="1"/>
      <protection/>
    </xf>
    <xf numFmtId="0" fontId="5" fillId="0" borderId="39" xfId="141" applyFont="1" applyFill="1" applyBorder="1" applyAlignment="1">
      <alignment vertical="distributed" wrapText="1"/>
      <protection/>
    </xf>
    <xf numFmtId="0" fontId="0" fillId="0" borderId="33" xfId="136" applyFont="1" applyFill="1" applyBorder="1" applyAlignment="1">
      <alignment wrapText="1"/>
      <protection/>
    </xf>
    <xf numFmtId="0" fontId="0" fillId="0" borderId="38" xfId="136" applyFont="1" applyFill="1" applyBorder="1" applyAlignment="1">
      <alignment wrapText="1"/>
      <protection/>
    </xf>
    <xf numFmtId="0" fontId="5" fillId="11" borderId="39" xfId="141" applyFont="1" applyFill="1" applyBorder="1" applyAlignment="1">
      <alignment horizontal="center" vertical="distributed" wrapText="1"/>
      <protection/>
    </xf>
    <xf numFmtId="0" fontId="3" fillId="0" borderId="31" xfId="137" applyFont="1" applyBorder="1" applyAlignment="1">
      <alignment/>
      <protection/>
    </xf>
    <xf numFmtId="0" fontId="31" fillId="0" borderId="27" xfId="137" applyFont="1" applyFill="1" applyBorder="1" applyAlignment="1">
      <alignment horizontal="center"/>
      <protection/>
    </xf>
    <xf numFmtId="0" fontId="34" fillId="0" borderId="40" xfId="137" applyFont="1" applyBorder="1" applyAlignment="1">
      <alignment/>
      <protection/>
    </xf>
    <xf numFmtId="4" fontId="4" fillId="41" borderId="13" xfId="137" applyNumberFormat="1" applyFont="1" applyFill="1" applyBorder="1" applyAlignment="1">
      <alignment horizontal="center" vertical="center"/>
      <protection/>
    </xf>
    <xf numFmtId="0" fontId="6" fillId="0" borderId="32" xfId="136" applyFont="1" applyFill="1" applyBorder="1" applyAlignment="1">
      <alignment wrapText="1"/>
      <protection/>
    </xf>
    <xf numFmtId="0" fontId="6" fillId="0" borderId="35" xfId="136" applyFont="1" applyFill="1" applyBorder="1" applyAlignment="1">
      <alignment wrapText="1"/>
      <protection/>
    </xf>
    <xf numFmtId="4" fontId="6" fillId="0" borderId="41" xfId="137" applyNumberFormat="1" applyFont="1" applyFill="1" applyBorder="1" applyAlignment="1">
      <alignment vertical="center"/>
      <protection/>
    </xf>
    <xf numFmtId="10" fontId="6" fillId="0" borderId="42" xfId="137" applyNumberFormat="1" applyFont="1" applyFill="1" applyBorder="1" applyAlignment="1">
      <alignment vertical="center"/>
      <protection/>
    </xf>
    <xf numFmtId="10" fontId="6" fillId="0" borderId="42" xfId="137" applyNumberFormat="1" applyFont="1" applyFill="1" applyBorder="1" applyAlignment="1">
      <alignment/>
      <protection/>
    </xf>
    <xf numFmtId="4" fontId="6" fillId="45" borderId="41" xfId="137" applyNumberFormat="1" applyFont="1" applyFill="1" applyBorder="1" applyAlignment="1">
      <alignment vertical="center"/>
      <protection/>
    </xf>
    <xf numFmtId="10" fontId="6" fillId="45" borderId="42" xfId="137" applyNumberFormat="1" applyFont="1" applyFill="1" applyBorder="1" applyAlignment="1">
      <alignment vertical="center"/>
      <protection/>
    </xf>
    <xf numFmtId="4" fontId="4" fillId="0" borderId="22" xfId="137" applyNumberFormat="1" applyFont="1" applyBorder="1" applyAlignment="1">
      <alignment horizontal="right" vertical="top" wrapText="1"/>
      <protection/>
    </xf>
    <xf numFmtId="10" fontId="4" fillId="0" borderId="43" xfId="137" applyNumberFormat="1" applyFont="1" applyBorder="1" applyAlignment="1">
      <alignment horizontal="right" vertical="top" wrapText="1"/>
      <protection/>
    </xf>
    <xf numFmtId="10" fontId="4" fillId="0" borderId="23" xfId="137" applyNumberFormat="1" applyFont="1" applyBorder="1" applyAlignment="1">
      <alignment horizontal="right" vertical="top" wrapText="1"/>
      <protection/>
    </xf>
    <xf numFmtId="175" fontId="7" fillId="0" borderId="16" xfId="141" applyNumberFormat="1" applyFont="1" applyFill="1" applyBorder="1" applyAlignment="1">
      <alignment horizontal="center" vertical="distributed"/>
      <protection/>
    </xf>
    <xf numFmtId="0" fontId="7" fillId="0" borderId="44" xfId="141" applyFont="1" applyFill="1" applyBorder="1" applyAlignment="1">
      <alignment vertical="distributed" wrapText="1"/>
      <protection/>
    </xf>
    <xf numFmtId="170" fontId="7" fillId="0" borderId="17" xfId="162" applyFont="1" applyFill="1" applyBorder="1" applyAlignment="1" applyProtection="1">
      <alignment horizontal="center" vertical="distributed"/>
      <protection/>
    </xf>
    <xf numFmtId="175" fontId="5" fillId="0" borderId="14" xfId="141" applyNumberFormat="1" applyFont="1" applyFill="1" applyBorder="1" applyAlignment="1">
      <alignment horizontal="center" vertical="distributed"/>
      <protection/>
    </xf>
    <xf numFmtId="0" fontId="6" fillId="0" borderId="45" xfId="141" applyFont="1" applyFill="1" applyBorder="1" applyAlignment="1">
      <alignment vertical="distributed" wrapText="1"/>
      <protection/>
    </xf>
    <xf numFmtId="170" fontId="7" fillId="0" borderId="15" xfId="162" applyFont="1" applyFill="1" applyBorder="1" applyAlignment="1" applyProtection="1">
      <alignment horizontal="center" vertical="distributed"/>
      <protection/>
    </xf>
    <xf numFmtId="175" fontId="0" fillId="0" borderId="14" xfId="141" applyNumberFormat="1" applyFont="1" applyFill="1" applyBorder="1" applyAlignment="1">
      <alignment horizontal="center" vertical="distributed"/>
      <protection/>
    </xf>
    <xf numFmtId="0" fontId="5" fillId="0" borderId="45" xfId="141" applyFont="1" applyFill="1" applyBorder="1" applyAlignment="1">
      <alignment vertical="distributed" wrapText="1"/>
      <protection/>
    </xf>
    <xf numFmtId="10" fontId="5" fillId="0" borderId="15" xfId="141" applyNumberFormat="1" applyFont="1" applyFill="1" applyBorder="1" applyAlignment="1">
      <alignment horizontal="center" vertical="distributed"/>
      <protection/>
    </xf>
    <xf numFmtId="0" fontId="0" fillId="0" borderId="15" xfId="162" applyNumberFormat="1" applyFont="1" applyFill="1" applyBorder="1" applyAlignment="1" applyProtection="1">
      <alignment horizontal="center" vertical="distributed"/>
      <protection/>
    </xf>
    <xf numFmtId="0" fontId="6" fillId="0" borderId="14" xfId="141" applyNumberFormat="1" applyFont="1" applyFill="1" applyBorder="1" applyAlignment="1">
      <alignment horizontal="center" vertical="distributed"/>
      <protection/>
    </xf>
    <xf numFmtId="171" fontId="6" fillId="0" borderId="45" xfId="141" applyNumberFormat="1" applyFont="1" applyFill="1" applyBorder="1" applyAlignment="1">
      <alignment vertical="distributed" wrapText="1"/>
      <protection/>
    </xf>
    <xf numFmtId="10" fontId="6" fillId="0" borderId="15" xfId="162" applyNumberFormat="1" applyFont="1" applyFill="1" applyBorder="1" applyAlignment="1" applyProtection="1">
      <alignment horizontal="center" vertical="distributed"/>
      <protection/>
    </xf>
    <xf numFmtId="0" fontId="6" fillId="0" borderId="45" xfId="141" applyFont="1" applyBorder="1" applyAlignment="1">
      <alignment vertical="distributed"/>
      <protection/>
    </xf>
    <xf numFmtId="10" fontId="5" fillId="0" borderId="15" xfId="162" applyNumberFormat="1" applyFont="1" applyFill="1" applyBorder="1" applyAlignment="1" applyProtection="1">
      <alignment horizontal="center" vertical="distributed"/>
      <protection/>
    </xf>
    <xf numFmtId="10" fontId="6" fillId="0" borderId="15" xfId="141" applyNumberFormat="1" applyFont="1" applyFill="1" applyBorder="1" applyAlignment="1">
      <alignment horizontal="center" vertical="distributed"/>
      <protection/>
    </xf>
    <xf numFmtId="0" fontId="6" fillId="0" borderId="45" xfId="141" applyFont="1" applyFill="1" applyBorder="1" applyAlignment="1">
      <alignment horizontal="justify" vertical="distributed" wrapText="1"/>
      <protection/>
    </xf>
    <xf numFmtId="0" fontId="0" fillId="0" borderId="15" xfId="141" applyNumberFormat="1" applyFont="1" applyFill="1" applyBorder="1" applyAlignment="1">
      <alignment horizontal="center" vertical="distributed"/>
      <protection/>
    </xf>
    <xf numFmtId="175" fontId="0" fillId="0" borderId="18" xfId="141" applyNumberFormat="1" applyFont="1" applyFill="1" applyBorder="1" applyAlignment="1">
      <alignment horizontal="center" vertical="distributed"/>
      <protection/>
    </xf>
    <xf numFmtId="0" fontId="0" fillId="0" borderId="46" xfId="141" applyFont="1" applyFill="1" applyBorder="1" applyAlignment="1">
      <alignment vertical="distributed" wrapText="1"/>
      <protection/>
    </xf>
    <xf numFmtId="0" fontId="0" fillId="0" borderId="19" xfId="141" applyNumberFormat="1" applyFont="1" applyFill="1" applyBorder="1" applyAlignment="1">
      <alignment horizontal="center" vertical="distributed"/>
      <protection/>
    </xf>
    <xf numFmtId="49" fontId="4" fillId="44" borderId="24" xfId="135" applyNumberFormat="1" applyFont="1" applyFill="1" applyBorder="1" applyAlignment="1">
      <alignment horizontal="center" vertical="center" wrapText="1"/>
      <protection/>
    </xf>
    <xf numFmtId="172" fontId="5" fillId="42" borderId="24" xfId="135" applyNumberFormat="1" applyFont="1" applyFill="1" applyBorder="1" applyAlignment="1">
      <alignment vertical="center" wrapText="1"/>
      <protection/>
    </xf>
    <xf numFmtId="4" fontId="4" fillId="42" borderId="24" xfId="135" applyNumberFormat="1" applyFont="1" applyFill="1" applyBorder="1" applyAlignment="1">
      <alignment horizontal="right" vertical="center" wrapText="1"/>
      <protection/>
    </xf>
    <xf numFmtId="0" fontId="6" fillId="0" borderId="0" xfId="137" applyFont="1" applyFill="1" applyAlignment="1" applyProtection="1">
      <alignment vertical="center"/>
      <protection locked="0"/>
    </xf>
    <xf numFmtId="0" fontId="0" fillId="0" borderId="0" xfId="137" applyFont="1" applyFill="1" applyAlignment="1" applyProtection="1">
      <alignment vertical="center"/>
      <protection locked="0"/>
    </xf>
    <xf numFmtId="0" fontId="35" fillId="0" borderId="0" xfId="137" applyFont="1" applyFill="1" applyAlignment="1" applyProtection="1">
      <alignment vertical="center"/>
      <protection locked="0"/>
    </xf>
    <xf numFmtId="4" fontId="5" fillId="16" borderId="47" xfId="135" applyNumberFormat="1" applyFont="1" applyFill="1" applyBorder="1" applyAlignment="1" applyProtection="1">
      <alignment horizontal="center" vertical="center" wrapText="1"/>
      <protection locked="0"/>
    </xf>
    <xf numFmtId="0" fontId="5" fillId="16" borderId="48" xfId="137" applyFont="1" applyFill="1" applyBorder="1" applyAlignment="1" applyProtection="1">
      <alignment horizontal="center" vertical="center" wrapText="1"/>
      <protection locked="0"/>
    </xf>
    <xf numFmtId="4" fontId="5" fillId="16" borderId="49" xfId="137" applyNumberFormat="1" applyFont="1" applyFill="1" applyBorder="1" applyAlignment="1" applyProtection="1">
      <alignment horizontal="center" vertical="center" wrapText="1"/>
      <protection locked="0"/>
    </xf>
    <xf numFmtId="0" fontId="5" fillId="11" borderId="25" xfId="137" applyFont="1" applyFill="1" applyBorder="1" applyAlignment="1" applyProtection="1">
      <alignment horizontal="center" vertical="center" wrapText="1"/>
      <protection locked="0"/>
    </xf>
    <xf numFmtId="0" fontId="5" fillId="0" borderId="24" xfId="137" applyFont="1" applyFill="1" applyBorder="1" applyAlignment="1" applyProtection="1">
      <alignment horizontal="justify" vertical="center" wrapText="1"/>
      <protection locked="0"/>
    </xf>
    <xf numFmtId="170" fontId="6" fillId="0" borderId="24" xfId="151" applyFont="1" applyFill="1" applyBorder="1" applyAlignment="1" applyProtection="1">
      <alignment horizontal="center" vertical="center" wrapText="1"/>
      <protection locked="0"/>
    </xf>
    <xf numFmtId="0" fontId="2" fillId="0" borderId="0" xfId="137" applyFont="1" applyFill="1" applyAlignment="1" applyProtection="1">
      <alignment vertical="center"/>
      <protection locked="0"/>
    </xf>
    <xf numFmtId="170" fontId="6" fillId="0" borderId="24" xfId="163" applyFont="1" applyFill="1" applyBorder="1" applyAlignment="1" applyProtection="1">
      <alignment horizontal="center" vertical="center" wrapText="1"/>
      <protection locked="0"/>
    </xf>
    <xf numFmtId="0" fontId="2" fillId="0" borderId="0" xfId="137" applyFont="1" applyAlignment="1" applyProtection="1">
      <alignment horizontal="center" vertical="center"/>
      <protection locked="0"/>
    </xf>
    <xf numFmtId="0" fontId="2" fillId="0" borderId="0" xfId="137" applyFont="1" applyAlignment="1" applyProtection="1">
      <alignment vertical="center"/>
      <protection locked="0"/>
    </xf>
    <xf numFmtId="4" fontId="2" fillId="0" borderId="0" xfId="137" applyNumberFormat="1" applyFont="1" applyAlignment="1" applyProtection="1">
      <alignment vertical="center"/>
      <protection locked="0"/>
    </xf>
    <xf numFmtId="0" fontId="4" fillId="43" borderId="24" xfId="135" applyNumberFormat="1" applyFont="1" applyFill="1" applyBorder="1" applyAlignment="1">
      <alignment horizontal="center" vertical="center" wrapText="1"/>
      <protection/>
    </xf>
    <xf numFmtId="0" fontId="4" fillId="42" borderId="24" xfId="135" applyNumberFormat="1" applyFont="1" applyFill="1" applyBorder="1" applyAlignment="1">
      <alignment horizontal="center" vertical="center" wrapText="1"/>
      <protection/>
    </xf>
    <xf numFmtId="0" fontId="2" fillId="0" borderId="0" xfId="137" applyFont="1" applyAlignment="1">
      <alignment horizontal="right"/>
      <protection/>
    </xf>
    <xf numFmtId="0" fontId="4" fillId="42" borderId="24" xfId="137" applyNumberFormat="1" applyFont="1" applyFill="1" applyBorder="1" applyAlignment="1">
      <alignment horizontal="justify" vertical="center" wrapText="1"/>
      <protection/>
    </xf>
    <xf numFmtId="0" fontId="5" fillId="0" borderId="24" xfId="0" applyFont="1" applyFill="1" applyBorder="1" applyAlignment="1" applyProtection="1">
      <alignment horizontal="justify" vertical="center" wrapText="1"/>
      <protection locked="0"/>
    </xf>
    <xf numFmtId="0" fontId="5" fillId="0" borderId="24" xfId="140" applyFont="1" applyFill="1" applyBorder="1" applyAlignment="1" applyProtection="1">
      <alignment horizontal="justify" vertical="center" wrapText="1"/>
      <protection locked="0"/>
    </xf>
    <xf numFmtId="0" fontId="2" fillId="0" borderId="0" xfId="137" applyFont="1" applyFill="1" applyBorder="1" applyAlignment="1">
      <alignment horizontal="center"/>
      <protection/>
    </xf>
    <xf numFmtId="0" fontId="3" fillId="0" borderId="50" xfId="137" applyFont="1" applyBorder="1" applyAlignment="1">
      <alignment/>
      <protection/>
    </xf>
    <xf numFmtId="0" fontId="31" fillId="0" borderId="26" xfId="137" applyFont="1" applyFill="1" applyBorder="1" applyAlignment="1">
      <alignment horizontal="center"/>
      <protection/>
    </xf>
    <xf numFmtId="10" fontId="6" fillId="45" borderId="42" xfId="137" applyNumberFormat="1" applyFont="1" applyFill="1" applyBorder="1" applyAlignment="1">
      <alignment/>
      <protection/>
    </xf>
    <xf numFmtId="0" fontId="0" fillId="0" borderId="0" xfId="137" applyFont="1" applyFill="1" applyAlignment="1">
      <alignment vertical="center"/>
      <protection/>
    </xf>
    <xf numFmtId="4" fontId="4" fillId="41" borderId="51" xfId="135" applyNumberFormat="1" applyFont="1" applyFill="1" applyBorder="1" applyAlignment="1">
      <alignment horizontal="center" vertical="distributed" wrapText="1"/>
      <protection/>
    </xf>
    <xf numFmtId="0" fontId="4" fillId="41" borderId="51" xfId="137" applyFont="1" applyFill="1" applyBorder="1" applyAlignment="1">
      <alignment horizontal="center" vertical="distributed" wrapText="1"/>
      <protection/>
    </xf>
    <xf numFmtId="4" fontId="5" fillId="41" borderId="51" xfId="137" applyNumberFormat="1" applyFont="1" applyFill="1" applyBorder="1" applyAlignment="1">
      <alignment horizontal="center" vertical="distributed" wrapText="1"/>
      <protection/>
    </xf>
    <xf numFmtId="4" fontId="4" fillId="41" borderId="51" xfId="137" applyNumberFormat="1" applyFont="1" applyFill="1" applyBorder="1" applyAlignment="1">
      <alignment horizontal="center" vertical="distributed" wrapText="1"/>
      <protection/>
    </xf>
    <xf numFmtId="0" fontId="5" fillId="44" borderId="24" xfId="137" applyFont="1" applyFill="1" applyBorder="1" applyAlignment="1">
      <alignment horizontal="center" vertical="distributed" wrapText="1"/>
      <protection/>
    </xf>
    <xf numFmtId="49" fontId="4" fillId="44" borderId="24" xfId="137" applyNumberFormat="1" applyFont="1" applyFill="1" applyBorder="1" applyAlignment="1">
      <alignment horizontal="center" vertical="distributed" wrapText="1"/>
      <protection/>
    </xf>
    <xf numFmtId="0" fontId="4" fillId="44" borderId="24" xfId="137" applyFont="1" applyFill="1" applyBorder="1" applyAlignment="1">
      <alignment horizontal="justify" vertical="distributed" wrapText="1"/>
      <protection/>
    </xf>
    <xf numFmtId="0" fontId="4" fillId="44" borderId="24" xfId="137" applyFont="1" applyFill="1" applyBorder="1" applyAlignment="1">
      <alignment horizontal="center" vertical="distributed" wrapText="1"/>
      <protection/>
    </xf>
    <xf numFmtId="4" fontId="4" fillId="44" borderId="24" xfId="137" applyNumberFormat="1" applyFont="1" applyFill="1" applyBorder="1" applyAlignment="1">
      <alignment horizontal="right" vertical="distributed" wrapText="1"/>
      <protection/>
    </xf>
    <xf numFmtId="0" fontId="2" fillId="11" borderId="24" xfId="137" applyNumberFormat="1" applyFont="1" applyFill="1" applyBorder="1" applyAlignment="1">
      <alignment horizontal="center" vertical="distributed" wrapText="1"/>
      <protection/>
    </xf>
    <xf numFmtId="49" fontId="5" fillId="11" borderId="24" xfId="143" applyNumberFormat="1" applyFont="1" applyFill="1" applyBorder="1" applyAlignment="1">
      <alignment horizontal="center" vertical="distributed" wrapText="1"/>
      <protection/>
    </xf>
    <xf numFmtId="0" fontId="4" fillId="11" borderId="24" xfId="137" applyFont="1" applyFill="1" applyBorder="1" applyAlignment="1">
      <alignment vertical="distributed" wrapText="1"/>
      <protection/>
    </xf>
    <xf numFmtId="0" fontId="4" fillId="11" borderId="24" xfId="137" applyFont="1" applyFill="1" applyBorder="1" applyAlignment="1">
      <alignment horizontal="center" vertical="distributed" wrapText="1"/>
      <protection/>
    </xf>
    <xf numFmtId="4" fontId="4" fillId="11" borderId="24" xfId="137" applyNumberFormat="1" applyFont="1" applyFill="1" applyBorder="1" applyAlignment="1">
      <alignment horizontal="right" vertical="distributed" wrapText="1"/>
      <protection/>
    </xf>
    <xf numFmtId="0" fontId="5" fillId="42" borderId="24" xfId="137" applyFont="1" applyFill="1" applyBorder="1" applyAlignment="1">
      <alignment horizontal="center" vertical="distributed" wrapText="1"/>
      <protection/>
    </xf>
    <xf numFmtId="49" fontId="4" fillId="42" borderId="24" xfId="137" applyNumberFormat="1" applyFont="1" applyFill="1" applyBorder="1" applyAlignment="1">
      <alignment horizontal="center" vertical="distributed" wrapText="1"/>
      <protection/>
    </xf>
    <xf numFmtId="0" fontId="4" fillId="42" borderId="24" xfId="137" applyFont="1" applyFill="1" applyBorder="1" applyAlignment="1">
      <alignment horizontal="justify" vertical="distributed" wrapText="1"/>
      <protection/>
    </xf>
    <xf numFmtId="0" fontId="4" fillId="42" borderId="24" xfId="137" applyFont="1" applyFill="1" applyBorder="1" applyAlignment="1">
      <alignment horizontal="center" vertical="distributed" wrapText="1"/>
      <protection/>
    </xf>
    <xf numFmtId="4" fontId="4" fillId="42" borderId="24" xfId="137" applyNumberFormat="1" applyFont="1" applyFill="1" applyBorder="1" applyAlignment="1">
      <alignment horizontal="right" vertical="distributed" wrapText="1"/>
      <protection/>
    </xf>
    <xf numFmtId="0" fontId="5" fillId="0" borderId="24" xfId="137" applyFont="1" applyFill="1" applyBorder="1" applyAlignment="1">
      <alignment horizontal="center" vertical="distributed" wrapText="1"/>
      <protection/>
    </xf>
    <xf numFmtId="49" fontId="4" fillId="0" borderId="24" xfId="137" applyNumberFormat="1" applyFont="1" applyFill="1" applyBorder="1" applyAlignment="1">
      <alignment horizontal="center" vertical="distributed" wrapText="1"/>
      <protection/>
    </xf>
    <xf numFmtId="0" fontId="4" fillId="0" borderId="24" xfId="137" applyFont="1" applyFill="1" applyBorder="1" applyAlignment="1">
      <alignment horizontal="justify" vertical="distributed" wrapText="1"/>
      <protection/>
    </xf>
    <xf numFmtId="0" fontId="4" fillId="0" borderId="24" xfId="137" applyFont="1" applyFill="1" applyBorder="1" applyAlignment="1">
      <alignment horizontal="center" vertical="distributed" wrapText="1"/>
      <protection/>
    </xf>
    <xf numFmtId="4" fontId="4" fillId="0" borderId="24" xfId="137" applyNumberFormat="1" applyFont="1" applyFill="1" applyBorder="1" applyAlignment="1">
      <alignment horizontal="right" vertical="distributed" wrapText="1"/>
      <protection/>
    </xf>
    <xf numFmtId="0" fontId="2" fillId="0" borderId="24" xfId="137" applyNumberFormat="1" applyFont="1" applyFill="1" applyBorder="1" applyAlignment="1">
      <alignment horizontal="center" vertical="distributed" wrapText="1"/>
      <protection/>
    </xf>
    <xf numFmtId="49" fontId="2" fillId="0" borderId="24" xfId="137" applyNumberFormat="1" applyFont="1" applyFill="1" applyBorder="1" applyAlignment="1">
      <alignment horizontal="center" vertical="distributed" wrapText="1"/>
      <protection/>
    </xf>
    <xf numFmtId="4" fontId="6" fillId="0" borderId="24" xfId="137" applyNumberFormat="1" applyFont="1" applyFill="1" applyBorder="1" applyAlignment="1">
      <alignment horizontal="right" vertical="distributed" wrapText="1"/>
      <protection/>
    </xf>
    <xf numFmtId="4" fontId="2" fillId="0" borderId="24" xfId="137" applyNumberFormat="1" applyFont="1" applyFill="1" applyBorder="1" applyAlignment="1">
      <alignment horizontal="right" vertical="distributed" wrapText="1"/>
      <protection/>
    </xf>
    <xf numFmtId="0" fontId="2" fillId="45" borderId="24" xfId="137" applyNumberFormat="1" applyFont="1" applyFill="1" applyBorder="1" applyAlignment="1">
      <alignment horizontal="center" vertical="distributed" wrapText="1"/>
      <protection/>
    </xf>
    <xf numFmtId="0" fontId="2" fillId="0" borderId="24" xfId="137" applyFont="1" applyFill="1" applyBorder="1" applyAlignment="1">
      <alignment horizontal="center" vertical="distributed" wrapText="1"/>
      <protection/>
    </xf>
    <xf numFmtId="49" fontId="4" fillId="11" borderId="24" xfId="137" applyNumberFormat="1" applyFont="1" applyFill="1" applyBorder="1" applyAlignment="1">
      <alignment horizontal="center" vertical="distributed" wrapText="1"/>
      <protection/>
    </xf>
    <xf numFmtId="0" fontId="2" fillId="11" borderId="24" xfId="137" applyFont="1" applyFill="1" applyBorder="1" applyAlignment="1">
      <alignment horizontal="center" vertical="distributed" wrapText="1"/>
      <protection/>
    </xf>
    <xf numFmtId="4" fontId="6" fillId="11" borderId="24" xfId="137" applyNumberFormat="1" applyFont="1" applyFill="1" applyBorder="1" applyAlignment="1">
      <alignment horizontal="right" vertical="distributed" wrapText="1"/>
      <protection/>
    </xf>
    <xf numFmtId="0" fontId="4" fillId="44" borderId="24" xfId="137" applyFont="1" applyFill="1" applyBorder="1" applyAlignment="1">
      <alignment vertical="distributed" wrapText="1"/>
      <protection/>
    </xf>
    <xf numFmtId="4" fontId="4" fillId="41" borderId="51" xfId="137" applyNumberFormat="1" applyFont="1" applyFill="1" applyBorder="1" applyAlignment="1">
      <alignment horizontal="center" vertical="center" wrapText="1"/>
      <protection/>
    </xf>
    <xf numFmtId="4" fontId="4" fillId="42" borderId="24" xfId="137" applyNumberFormat="1" applyFont="1" applyFill="1" applyBorder="1" applyAlignment="1">
      <alignment horizontal="right" vertical="center" wrapText="1"/>
      <protection/>
    </xf>
    <xf numFmtId="4" fontId="4" fillId="0" borderId="24" xfId="137" applyNumberFormat="1" applyFont="1" applyFill="1" applyBorder="1" applyAlignment="1">
      <alignment horizontal="right" vertical="center" wrapText="1"/>
      <protection/>
    </xf>
    <xf numFmtId="4" fontId="6" fillId="0" borderId="24" xfId="135" applyNumberFormat="1" applyFont="1" applyFill="1" applyBorder="1" applyAlignment="1">
      <alignment horizontal="right" vertical="center" wrapText="1"/>
      <protection/>
    </xf>
    <xf numFmtId="4" fontId="6" fillId="0" borderId="24" xfId="137" applyNumberFormat="1" applyFont="1" applyFill="1" applyBorder="1" applyAlignment="1">
      <alignment vertical="center"/>
      <protection/>
    </xf>
    <xf numFmtId="4" fontId="2" fillId="11" borderId="24" xfId="137" applyNumberFormat="1" applyFont="1" applyFill="1" applyBorder="1" applyAlignment="1">
      <alignment horizontal="right" vertical="center" wrapText="1"/>
      <protection/>
    </xf>
    <xf numFmtId="4" fontId="2" fillId="0" borderId="0" xfId="137" applyNumberFormat="1" applyFont="1" applyAlignment="1">
      <alignment horizontal="right" vertical="center"/>
      <protection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4" xfId="135" applyFont="1" applyFill="1" applyBorder="1" applyAlignment="1">
      <alignment horizontal="justify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24" xfId="135" applyFont="1" applyFill="1" applyBorder="1" applyAlignment="1">
      <alignment horizontal="justify" vertical="center" wrapText="1"/>
      <protection/>
    </xf>
    <xf numFmtId="0" fontId="6" fillId="0" borderId="24" xfId="135" applyFont="1" applyFill="1" applyBorder="1" applyAlignment="1">
      <alignment horizontal="center" vertical="center" wrapText="1"/>
      <protection/>
    </xf>
    <xf numFmtId="0" fontId="2" fillId="0" borderId="0" xfId="137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justify" vertical="center" wrapTex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2" fillId="0" borderId="26" xfId="137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7" xfId="137" applyFont="1" applyFill="1" applyBorder="1" applyAlignment="1" applyProtection="1">
      <alignment horizontal="center" vertical="center"/>
      <protection locked="0"/>
    </xf>
    <xf numFmtId="0" fontId="2" fillId="0" borderId="28" xfId="137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31" fillId="0" borderId="30" xfId="137" applyFont="1" applyFill="1" applyBorder="1" applyAlignment="1" applyProtection="1">
      <alignment horizontal="center" vertical="center"/>
      <protection locked="0"/>
    </xf>
    <xf numFmtId="0" fontId="2" fillId="0" borderId="0" xfId="137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27" xfId="137" applyFont="1" applyBorder="1" applyAlignment="1">
      <alignment horizontal="center" vertical="center"/>
      <protection/>
    </xf>
    <xf numFmtId="0" fontId="6" fillId="0" borderId="0" xfId="137" applyFont="1" applyFill="1" applyAlignment="1">
      <alignment vertical="center"/>
      <protection/>
    </xf>
    <xf numFmtId="0" fontId="2" fillId="0" borderId="29" xfId="137" applyFont="1" applyFill="1" applyBorder="1" applyAlignment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31" fillId="0" borderId="29" xfId="137" applyFont="1" applyFill="1" applyBorder="1" applyAlignment="1">
      <alignment horizontal="center" vertical="center"/>
      <protection/>
    </xf>
    <xf numFmtId="0" fontId="31" fillId="0" borderId="30" xfId="137" applyFont="1" applyFill="1" applyBorder="1" applyAlignment="1">
      <alignment horizontal="center" vertical="center"/>
      <protection/>
    </xf>
    <xf numFmtId="0" fontId="35" fillId="0" borderId="0" xfId="137" applyFont="1" applyFill="1" applyAlignment="1">
      <alignment vertical="center"/>
      <protection/>
    </xf>
    <xf numFmtId="4" fontId="4" fillId="41" borderId="47" xfId="135" applyNumberFormat="1" applyFont="1" applyFill="1" applyBorder="1" applyAlignment="1">
      <alignment horizontal="center" vertical="center" wrapText="1"/>
      <protection/>
    </xf>
    <xf numFmtId="0" fontId="4" fillId="41" borderId="48" xfId="137" applyFont="1" applyFill="1" applyBorder="1" applyAlignment="1">
      <alignment horizontal="center" vertical="center" wrapText="1"/>
      <protection/>
    </xf>
    <xf numFmtId="4" fontId="5" fillId="41" borderId="48" xfId="137" applyNumberFormat="1" applyFont="1" applyFill="1" applyBorder="1" applyAlignment="1">
      <alignment horizontal="center" vertical="center" wrapText="1"/>
      <protection/>
    </xf>
    <xf numFmtId="4" fontId="4" fillId="41" borderId="48" xfId="137" applyNumberFormat="1" applyFont="1" applyFill="1" applyBorder="1" applyAlignment="1">
      <alignment horizontal="center" vertical="center" wrapText="1"/>
      <protection/>
    </xf>
    <xf numFmtId="4" fontId="4" fillId="41" borderId="49" xfId="137" applyNumberFormat="1" applyFont="1" applyFill="1" applyBorder="1" applyAlignment="1">
      <alignment horizontal="center" vertical="center" wrapText="1"/>
      <protection/>
    </xf>
    <xf numFmtId="0" fontId="4" fillId="0" borderId="24" xfId="135" applyNumberFormat="1" applyFont="1" applyFill="1" applyBorder="1" applyAlignment="1">
      <alignment horizontal="center" vertical="center" wrapText="1"/>
      <protection/>
    </xf>
    <xf numFmtId="172" fontId="6" fillId="0" borderId="24" xfId="135" applyNumberFormat="1" applyFont="1" applyFill="1" applyBorder="1" applyAlignment="1">
      <alignment vertical="center"/>
      <protection/>
    </xf>
    <xf numFmtId="0" fontId="5" fillId="0" borderId="24" xfId="135" applyFont="1" applyFill="1" applyBorder="1" applyAlignment="1">
      <alignment horizontal="justify" vertical="center" wrapText="1"/>
      <protection/>
    </xf>
    <xf numFmtId="0" fontId="6" fillId="0" borderId="24" xfId="137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0" fontId="7" fillId="0" borderId="0" xfId="137" applyFont="1" applyFill="1" applyAlignment="1">
      <alignment vertical="center"/>
      <protection/>
    </xf>
    <xf numFmtId="0" fontId="5" fillId="42" borderId="24" xfId="135" applyFont="1" applyFill="1" applyBorder="1" applyAlignment="1">
      <alignment horizontal="justify" vertical="center" wrapText="1"/>
      <protection/>
    </xf>
    <xf numFmtId="0" fontId="5" fillId="42" borderId="24" xfId="135" applyFont="1" applyFill="1" applyBorder="1" applyAlignment="1">
      <alignment horizontal="center" vertical="center" wrapText="1"/>
      <protection/>
    </xf>
    <xf numFmtId="4" fontId="5" fillId="42" borderId="24" xfId="135" applyNumberFormat="1" applyFont="1" applyFill="1" applyBorder="1" applyAlignment="1">
      <alignment horizontal="right" vertical="center" wrapText="1"/>
      <protection/>
    </xf>
    <xf numFmtId="0" fontId="2" fillId="0" borderId="0" xfId="137" applyFont="1" applyAlignment="1">
      <alignment vertical="center"/>
      <protection/>
    </xf>
    <xf numFmtId="0" fontId="2" fillId="0" borderId="0" xfId="137" applyFont="1" applyAlignment="1">
      <alignment vertical="center" wrapText="1"/>
      <protection/>
    </xf>
    <xf numFmtId="0" fontId="2" fillId="0" borderId="0" xfId="137" applyFont="1" applyAlignment="1">
      <alignment horizontal="center" vertical="center"/>
      <protection/>
    </xf>
    <xf numFmtId="4" fontId="2" fillId="0" borderId="0" xfId="137" applyNumberFormat="1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2" fillId="0" borderId="24" xfId="135" applyFont="1" applyFill="1" applyBorder="1" applyAlignment="1">
      <alignment horizontal="justify" vertical="center" wrapText="1"/>
      <protection/>
    </xf>
    <xf numFmtId="0" fontId="6" fillId="0" borderId="24" xfId="0" applyFont="1" applyFill="1" applyBorder="1" applyAlignment="1">
      <alignment horizontal="center" vertical="center"/>
    </xf>
    <xf numFmtId="49" fontId="4" fillId="42" borderId="24" xfId="137" applyNumberFormat="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/>
      <protection locked="0"/>
    </xf>
    <xf numFmtId="4" fontId="0" fillId="0" borderId="24" xfId="0" applyNumberFormat="1" applyFont="1" applyFill="1" applyBorder="1" applyAlignment="1">
      <alignment vertical="center"/>
    </xf>
    <xf numFmtId="0" fontId="5" fillId="42" borderId="24" xfId="137" applyFont="1" applyFill="1" applyBorder="1" applyAlignment="1" applyProtection="1">
      <alignment horizontal="center" vertical="center" wrapText="1"/>
      <protection locked="0"/>
    </xf>
    <xf numFmtId="0" fontId="6" fillId="0" borderId="26" xfId="137" applyFont="1" applyBorder="1" applyAlignment="1">
      <alignment/>
      <protection/>
    </xf>
    <xf numFmtId="0" fontId="6" fillId="0" borderId="28" xfId="137" applyFont="1" applyFill="1" applyBorder="1" applyAlignment="1">
      <alignment/>
      <protection/>
    </xf>
    <xf numFmtId="4" fontId="5" fillId="11" borderId="25" xfId="135" applyNumberFormat="1" applyFont="1" applyFill="1" applyBorder="1" applyAlignment="1" applyProtection="1">
      <alignment horizontal="center" vertical="center" wrapText="1"/>
      <protection locked="0"/>
    </xf>
    <xf numFmtId="4" fontId="5" fillId="11" borderId="25" xfId="137" applyNumberFormat="1" applyFont="1" applyFill="1" applyBorder="1" applyAlignment="1" applyProtection="1">
      <alignment vertical="center" wrapText="1"/>
      <protection locked="0"/>
    </xf>
    <xf numFmtId="4" fontId="4" fillId="0" borderId="24" xfId="135" applyNumberFormat="1" applyFont="1" applyFill="1" applyBorder="1" applyAlignment="1" applyProtection="1">
      <alignment horizontal="center" vertical="center" wrapText="1"/>
      <protection locked="0"/>
    </xf>
    <xf numFmtId="4" fontId="0" fillId="0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4" xfId="137" applyNumberFormat="1" applyFont="1" applyFill="1" applyBorder="1" applyAlignment="1" applyProtection="1">
      <alignment vertical="center" wrapText="1"/>
      <protection locked="0"/>
    </xf>
    <xf numFmtId="0" fontId="6" fillId="0" borderId="24" xfId="137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24" xfId="137" applyNumberFormat="1" applyFont="1" applyFill="1" applyBorder="1" applyAlignment="1" applyProtection="1">
      <alignment vertical="center" wrapText="1"/>
      <protection locked="0"/>
    </xf>
    <xf numFmtId="4" fontId="5" fillId="42" borderId="24" xfId="135" applyNumberFormat="1" applyFont="1" applyFill="1" applyBorder="1" applyAlignment="1" applyProtection="1">
      <alignment horizontal="center" vertical="center" wrapText="1"/>
      <protection locked="0"/>
    </xf>
    <xf numFmtId="4" fontId="5" fillId="42" borderId="24" xfId="137" applyNumberFormat="1" applyFont="1" applyFill="1" applyBorder="1" applyAlignment="1" applyProtection="1">
      <alignment vertical="center" wrapText="1"/>
      <protection locked="0"/>
    </xf>
    <xf numFmtId="0" fontId="2" fillId="0" borderId="26" xfId="137" applyFont="1" applyBorder="1" applyAlignment="1">
      <alignment vertical="center"/>
      <protection/>
    </xf>
    <xf numFmtId="0" fontId="2" fillId="0" borderId="28" xfId="137" applyFont="1" applyFill="1" applyBorder="1" applyAlignment="1">
      <alignment vertical="center"/>
      <protection/>
    </xf>
    <xf numFmtId="49" fontId="39" fillId="0" borderId="24" xfId="137" applyNumberFormat="1" applyFont="1" applyFill="1" applyBorder="1" applyAlignment="1">
      <alignment horizontal="center" vertical="distributed" wrapText="1"/>
      <protection/>
    </xf>
    <xf numFmtId="0" fontId="40" fillId="0" borderId="24" xfId="135" applyFont="1" applyFill="1" applyBorder="1" applyAlignment="1">
      <alignment horizontal="justify" vertical="center" wrapText="1"/>
      <protection/>
    </xf>
    <xf numFmtId="0" fontId="33" fillId="0" borderId="31" xfId="137" applyFont="1" applyFill="1" applyBorder="1" applyAlignment="1">
      <alignment horizontal="center"/>
      <protection/>
    </xf>
    <xf numFmtId="0" fontId="2" fillId="0" borderId="52" xfId="137" applyFont="1" applyBorder="1">
      <alignment/>
      <protection/>
    </xf>
    <xf numFmtId="4" fontId="4" fillId="31" borderId="53" xfId="137" applyNumberFormat="1" applyFont="1" applyFill="1" applyBorder="1" applyAlignment="1">
      <alignment horizontal="right" vertical="center" wrapText="1"/>
      <protection/>
    </xf>
    <xf numFmtId="10" fontId="4" fillId="0" borderId="54" xfId="137" applyNumberFormat="1" applyFont="1" applyBorder="1">
      <alignment/>
      <protection/>
    </xf>
    <xf numFmtId="4" fontId="4" fillId="31" borderId="55" xfId="137" applyNumberFormat="1" applyFont="1" applyFill="1" applyBorder="1" applyAlignment="1">
      <alignment horizontal="right" vertical="center" wrapText="1"/>
      <protection/>
    </xf>
    <xf numFmtId="10" fontId="4" fillId="0" borderId="56" xfId="137" applyNumberFormat="1" applyFont="1" applyBorder="1" applyAlignment="1">
      <alignment horizontal="right"/>
      <protection/>
    </xf>
    <xf numFmtId="4" fontId="4" fillId="31" borderId="57" xfId="137" applyNumberFormat="1" applyFont="1" applyFill="1" applyBorder="1" applyAlignment="1">
      <alignment horizontal="right" vertical="center" wrapText="1"/>
      <protection/>
    </xf>
    <xf numFmtId="0" fontId="2" fillId="0" borderId="47" xfId="137" applyFont="1" applyBorder="1">
      <alignment/>
      <protection/>
    </xf>
    <xf numFmtId="4" fontId="4" fillId="31" borderId="49" xfId="137" applyNumberFormat="1" applyFont="1" applyFill="1" applyBorder="1" applyAlignment="1">
      <alignment horizontal="right" vertical="center" wrapText="1"/>
      <protection/>
    </xf>
    <xf numFmtId="0" fontId="35" fillId="0" borderId="50" xfId="142" applyFont="1" applyBorder="1">
      <alignment/>
      <protection/>
    </xf>
    <xf numFmtId="0" fontId="35" fillId="0" borderId="31" xfId="142" applyFont="1" applyBorder="1">
      <alignment/>
      <protection/>
    </xf>
    <xf numFmtId="0" fontId="5" fillId="42" borderId="58" xfId="142" applyFont="1" applyFill="1" applyBorder="1" applyAlignment="1">
      <alignment horizontal="center"/>
      <protection/>
    </xf>
    <xf numFmtId="0" fontId="4" fillId="42" borderId="59" xfId="139" applyFont="1" applyFill="1" applyBorder="1" applyAlignment="1">
      <alignment vertical="distributed" wrapText="1"/>
      <protection/>
    </xf>
    <xf numFmtId="0" fontId="6" fillId="0" borderId="60" xfId="142" applyFont="1" applyBorder="1" applyAlignment="1">
      <alignment horizontal="center"/>
      <protection/>
    </xf>
    <xf numFmtId="0" fontId="6" fillId="0" borderId="61" xfId="142" applyFont="1" applyBorder="1" applyAlignment="1">
      <alignment horizontal="justify" vertical="distributed" wrapText="1"/>
      <protection/>
    </xf>
    <xf numFmtId="0" fontId="6" fillId="0" borderId="62" xfId="142" applyFont="1" applyBorder="1" applyAlignment="1">
      <alignment horizontal="center"/>
      <protection/>
    </xf>
    <xf numFmtId="0" fontId="6" fillId="0" borderId="63" xfId="142" applyFont="1" applyBorder="1" applyAlignment="1">
      <alignment horizontal="justify" vertical="distributed" wrapText="1"/>
      <protection/>
    </xf>
    <xf numFmtId="0" fontId="0" fillId="0" borderId="26" xfId="142" applyBorder="1">
      <alignment/>
      <protection/>
    </xf>
    <xf numFmtId="0" fontId="0" fillId="0" borderId="27" xfId="142" applyBorder="1">
      <alignment/>
      <protection/>
    </xf>
    <xf numFmtId="0" fontId="5" fillId="42" borderId="60" xfId="142" applyFont="1" applyFill="1" applyBorder="1" applyAlignment="1">
      <alignment horizontal="center"/>
      <protection/>
    </xf>
    <xf numFmtId="0" fontId="4" fillId="42" borderId="61" xfId="139" applyFont="1" applyFill="1" applyBorder="1" applyAlignment="1">
      <alignment vertical="distributed" wrapText="1"/>
      <protection/>
    </xf>
    <xf numFmtId="0" fontId="6" fillId="0" borderId="60" xfId="142" applyFont="1" applyFill="1" applyBorder="1" applyAlignment="1">
      <alignment horizontal="center"/>
      <protection/>
    </xf>
    <xf numFmtId="0" fontId="6" fillId="0" borderId="61" xfId="142" applyNumberFormat="1" applyFont="1" applyBorder="1" applyAlignment="1">
      <alignment horizontal="justify" vertical="distributed" wrapText="1"/>
      <protection/>
    </xf>
    <xf numFmtId="0" fontId="5" fillId="42" borderId="60" xfId="0" applyFont="1" applyFill="1" applyBorder="1" applyAlignment="1">
      <alignment horizontal="center"/>
    </xf>
    <xf numFmtId="0" fontId="4" fillId="42" borderId="61" xfId="137" applyFont="1" applyFill="1" applyBorder="1" applyAlignment="1">
      <alignment vertical="distributed" wrapText="1"/>
      <protection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justify" vertical="distributed" wrapText="1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justify" vertical="distributed" wrapText="1"/>
    </xf>
    <xf numFmtId="0" fontId="2" fillId="0" borderId="50" xfId="138" applyFont="1" applyBorder="1" applyAlignment="1">
      <alignment horizontal="left"/>
      <protection/>
    </xf>
    <xf numFmtId="0" fontId="2" fillId="0" borderId="64" xfId="138" applyFont="1" applyBorder="1" applyAlignment="1">
      <alignment horizontal="left"/>
      <protection/>
    </xf>
    <xf numFmtId="17" fontId="2" fillId="0" borderId="65" xfId="138" applyNumberFormat="1" applyFont="1" applyBorder="1" applyAlignment="1">
      <alignment horizontal="left"/>
      <protection/>
    </xf>
    <xf numFmtId="0" fontId="6" fillId="0" borderId="50" xfId="137" applyFont="1" applyFill="1" applyBorder="1" applyAlignment="1">
      <alignment horizontal="left"/>
      <protection/>
    </xf>
    <xf numFmtId="0" fontId="2" fillId="0" borderId="31" xfId="138" applyFont="1" applyBorder="1" applyAlignment="1">
      <alignment horizontal="left"/>
      <protection/>
    </xf>
    <xf numFmtId="0" fontId="4" fillId="0" borderId="66" xfId="138" applyNumberFormat="1" applyFont="1" applyBorder="1" applyAlignment="1">
      <alignment horizontal="center" vertical="center"/>
      <protection/>
    </xf>
    <xf numFmtId="4" fontId="34" fillId="0" borderId="40" xfId="137" applyNumberFormat="1" applyFont="1" applyBorder="1" applyAlignment="1">
      <alignment/>
      <protection/>
    </xf>
    <xf numFmtId="4" fontId="34" fillId="0" borderId="40" xfId="137" applyNumberFormat="1" applyFont="1" applyBorder="1" applyAlignment="1">
      <alignment vertical="center"/>
      <protection/>
    </xf>
    <xf numFmtId="0" fontId="4" fillId="0" borderId="28" xfId="137" applyFont="1" applyFill="1" applyBorder="1" applyAlignment="1">
      <alignment horizontal="center"/>
      <protection/>
    </xf>
    <xf numFmtId="0" fontId="2" fillId="0" borderId="65" xfId="138" applyFont="1" applyBorder="1" applyAlignment="1">
      <alignment horizontal="left"/>
      <protection/>
    </xf>
    <xf numFmtId="4" fontId="2" fillId="0" borderId="31" xfId="137" applyNumberFormat="1" applyFont="1" applyBorder="1" applyAlignment="1" applyProtection="1">
      <alignment vertical="center"/>
      <protection locked="0"/>
    </xf>
    <xf numFmtId="0" fontId="6" fillId="0" borderId="0" xfId="137" applyFont="1" applyFill="1" applyAlignment="1" applyProtection="1">
      <alignment vertical="center"/>
      <protection locked="0"/>
    </xf>
    <xf numFmtId="0" fontId="4" fillId="0" borderId="66" xfId="137" applyFont="1" applyFill="1" applyBorder="1" applyAlignment="1">
      <alignment horizontal="center"/>
      <protection/>
    </xf>
    <xf numFmtId="0" fontId="35" fillId="0" borderId="40" xfId="137" applyFont="1" applyBorder="1" applyAlignment="1" applyProtection="1">
      <alignment/>
      <protection locked="0"/>
    </xf>
    <xf numFmtId="0" fontId="34" fillId="0" borderId="40" xfId="137" applyFont="1" applyBorder="1" applyAlignment="1" applyProtection="1">
      <alignment horizontal="center"/>
      <protection locked="0"/>
    </xf>
    <xf numFmtId="0" fontId="2" fillId="0" borderId="0" xfId="137" applyFont="1" applyFill="1" applyBorder="1" applyAlignment="1" applyProtection="1">
      <alignment horizontal="center" vertical="center"/>
      <protection locked="0"/>
    </xf>
    <xf numFmtId="0" fontId="31" fillId="0" borderId="29" xfId="137" applyFont="1" applyFill="1" applyBorder="1" applyAlignment="1" applyProtection="1">
      <alignment horizontal="center" vertical="center"/>
      <protection locked="0"/>
    </xf>
    <xf numFmtId="0" fontId="34" fillId="0" borderId="0" xfId="137" applyFont="1" applyBorder="1" applyAlignment="1">
      <alignment/>
      <protection/>
    </xf>
    <xf numFmtId="0" fontId="35" fillId="0" borderId="0" xfId="137" applyFont="1" applyBorder="1" applyAlignment="1">
      <alignment/>
      <protection/>
    </xf>
    <xf numFmtId="0" fontId="34" fillId="0" borderId="0" xfId="137" applyFont="1" applyBorder="1" applyAlignment="1">
      <alignment horizontal="center"/>
      <protection/>
    </xf>
    <xf numFmtId="4" fontId="34" fillId="0" borderId="0" xfId="137" applyNumberFormat="1" applyFont="1" applyBorder="1" applyAlignment="1">
      <alignment horizontal="right"/>
      <protection/>
    </xf>
    <xf numFmtId="0" fontId="34" fillId="0" borderId="40" xfId="137" applyFont="1" applyBorder="1" applyAlignment="1" applyProtection="1">
      <alignment/>
      <protection locked="0"/>
    </xf>
    <xf numFmtId="4" fontId="34" fillId="0" borderId="40" xfId="137" applyNumberFormat="1" applyFont="1" applyBorder="1" applyAlignment="1" applyProtection="1">
      <alignment horizontal="right"/>
      <protection locked="0"/>
    </xf>
    <xf numFmtId="0" fontId="6" fillId="0" borderId="31" xfId="136" applyFont="1" applyBorder="1">
      <alignment/>
      <protection/>
    </xf>
    <xf numFmtId="0" fontId="35" fillId="0" borderId="31" xfId="136" applyFont="1" applyBorder="1">
      <alignment/>
      <protection/>
    </xf>
    <xf numFmtId="4" fontId="6" fillId="0" borderId="24" xfId="137" applyNumberFormat="1" applyFont="1" applyFill="1" applyBorder="1" applyAlignment="1" applyProtection="1">
      <alignment horizontal="center" vertical="center" wrapText="1"/>
      <protection locked="0"/>
    </xf>
    <xf numFmtId="14" fontId="4" fillId="0" borderId="66" xfId="137" applyNumberFormat="1" applyFont="1" applyFill="1" applyBorder="1" applyAlignment="1">
      <alignment horizontal="center"/>
      <protection/>
    </xf>
    <xf numFmtId="0" fontId="7" fillId="30" borderId="67" xfId="142" applyFont="1" applyFill="1" applyBorder="1" applyAlignment="1">
      <alignment horizontal="center"/>
      <protection/>
    </xf>
    <xf numFmtId="0" fontId="7" fillId="30" borderId="68" xfId="142" applyFont="1" applyFill="1" applyBorder="1" applyAlignment="1">
      <alignment horizontal="center"/>
      <protection/>
    </xf>
    <xf numFmtId="14" fontId="4" fillId="0" borderId="28" xfId="138" applyNumberFormat="1" applyFont="1" applyBorder="1" applyAlignment="1">
      <alignment horizontal="center" vertical="center"/>
      <protection/>
    </xf>
    <xf numFmtId="14" fontId="4" fillId="0" borderId="30" xfId="138" applyNumberFormat="1" applyFont="1" applyBorder="1" applyAlignment="1">
      <alignment horizontal="center" vertical="center"/>
      <protection/>
    </xf>
    <xf numFmtId="0" fontId="4" fillId="0" borderId="28" xfId="138" applyNumberFormat="1" applyFont="1" applyBorder="1" applyAlignment="1">
      <alignment horizontal="center" vertical="center"/>
      <protection/>
    </xf>
    <xf numFmtId="0" fontId="4" fillId="0" borderId="30" xfId="138" applyNumberFormat="1" applyFont="1" applyBorder="1" applyAlignment="1">
      <alignment horizontal="center" vertical="center"/>
      <protection/>
    </xf>
    <xf numFmtId="0" fontId="4" fillId="0" borderId="28" xfId="137" applyFont="1" applyBorder="1" applyAlignment="1">
      <alignment horizontal="center"/>
      <protection/>
    </xf>
    <xf numFmtId="0" fontId="4" fillId="0" borderId="30" xfId="137" applyFont="1" applyBorder="1" applyAlignment="1">
      <alignment horizontal="center"/>
      <protection/>
    </xf>
    <xf numFmtId="0" fontId="4" fillId="0" borderId="26" xfId="137" applyFont="1" applyFill="1" applyBorder="1" applyAlignment="1">
      <alignment horizontal="center"/>
      <protection/>
    </xf>
    <xf numFmtId="0" fontId="4" fillId="0" borderId="27" xfId="137" applyFont="1" applyFill="1" applyBorder="1" applyAlignment="1">
      <alignment horizontal="center"/>
      <protection/>
    </xf>
    <xf numFmtId="0" fontId="4" fillId="0" borderId="28" xfId="137" applyFont="1" applyFill="1" applyBorder="1" applyAlignment="1">
      <alignment horizontal="center"/>
      <protection/>
    </xf>
    <xf numFmtId="0" fontId="4" fillId="0" borderId="30" xfId="137" applyFont="1" applyFill="1" applyBorder="1" applyAlignment="1">
      <alignment horizontal="center"/>
      <protection/>
    </xf>
    <xf numFmtId="0" fontId="5" fillId="0" borderId="48" xfId="137" applyFont="1" applyBorder="1" applyAlignment="1">
      <alignment horizontal="right" vertical="top" wrapText="1"/>
      <protection/>
    </xf>
    <xf numFmtId="0" fontId="4" fillId="0" borderId="69" xfId="137" applyFont="1" applyBorder="1" applyAlignment="1">
      <alignment horizontal="right" vertical="top" wrapText="1"/>
      <protection/>
    </xf>
    <xf numFmtId="0" fontId="4" fillId="0" borderId="70" xfId="137" applyFont="1" applyBorder="1" applyAlignment="1">
      <alignment horizontal="right" vertical="top" wrapText="1"/>
      <protection/>
    </xf>
    <xf numFmtId="0" fontId="5" fillId="0" borderId="71" xfId="137" applyFont="1" applyBorder="1" applyAlignment="1">
      <alignment horizontal="right" vertical="top" wrapText="1"/>
      <protection/>
    </xf>
    <xf numFmtId="0" fontId="33" fillId="0" borderId="50" xfId="137" applyFont="1" applyFill="1" applyBorder="1" applyAlignment="1">
      <alignment horizontal="center"/>
      <protection/>
    </xf>
    <xf numFmtId="0" fontId="33" fillId="0" borderId="72" xfId="137" applyFont="1" applyFill="1" applyBorder="1" applyAlignment="1">
      <alignment horizontal="center"/>
      <protection/>
    </xf>
    <xf numFmtId="0" fontId="33" fillId="0" borderId="31" xfId="137" applyFont="1" applyFill="1" applyBorder="1" applyAlignment="1">
      <alignment horizontal="center"/>
      <protection/>
    </xf>
    <xf numFmtId="0" fontId="4" fillId="0" borderId="26" xfId="138" applyNumberFormat="1" applyFont="1" applyBorder="1" applyAlignment="1">
      <alignment horizontal="center" vertical="center"/>
      <protection/>
    </xf>
    <xf numFmtId="0" fontId="4" fillId="0" borderId="27" xfId="138" applyNumberFormat="1" applyFont="1" applyBorder="1" applyAlignment="1">
      <alignment horizontal="center" vertical="center"/>
      <protection/>
    </xf>
    <xf numFmtId="0" fontId="33" fillId="0" borderId="50" xfId="137" applyFont="1" applyFill="1" applyBorder="1" applyAlignment="1">
      <alignment horizontal="center" vertical="center"/>
      <protection/>
    </xf>
    <xf numFmtId="0" fontId="33" fillId="0" borderId="72" xfId="137" applyFont="1" applyFill="1" applyBorder="1" applyAlignment="1">
      <alignment horizontal="center" vertical="center"/>
      <protection/>
    </xf>
    <xf numFmtId="0" fontId="33" fillId="0" borderId="31" xfId="137" applyFont="1" applyFill="1" applyBorder="1" applyAlignment="1">
      <alignment horizontal="center" vertical="center"/>
      <protection/>
    </xf>
    <xf numFmtId="0" fontId="33" fillId="0" borderId="50" xfId="137" applyFont="1" applyFill="1" applyBorder="1" applyAlignment="1" applyProtection="1">
      <alignment horizontal="center" vertical="center"/>
      <protection locked="0"/>
    </xf>
    <xf numFmtId="0" fontId="33" fillId="0" borderId="72" xfId="137" applyFont="1" applyFill="1" applyBorder="1" applyAlignment="1" applyProtection="1">
      <alignment horizontal="center" vertical="center"/>
      <protection locked="0"/>
    </xf>
    <xf numFmtId="0" fontId="33" fillId="0" borderId="31" xfId="137" applyFont="1" applyFill="1" applyBorder="1" applyAlignment="1" applyProtection="1">
      <alignment horizontal="center" vertical="center"/>
      <protection locked="0"/>
    </xf>
    <xf numFmtId="4" fontId="4" fillId="41" borderId="73" xfId="136" applyNumberFormat="1" applyFont="1" applyFill="1" applyBorder="1" applyAlignment="1">
      <alignment horizontal="center" vertical="distributed" wrapText="1"/>
      <protection/>
    </xf>
    <xf numFmtId="4" fontId="4" fillId="41" borderId="74" xfId="136" applyNumberFormat="1" applyFont="1" applyFill="1" applyBorder="1" applyAlignment="1">
      <alignment horizontal="center" vertical="distributed" wrapText="1"/>
      <protection/>
    </xf>
    <xf numFmtId="0" fontId="5" fillId="11" borderId="73" xfId="141" applyFont="1" applyFill="1" applyBorder="1" applyAlignment="1">
      <alignment horizontal="center" vertical="distributed" wrapText="1"/>
      <protection/>
    </xf>
    <xf numFmtId="0" fontId="5" fillId="11" borderId="75" xfId="141" applyFont="1" applyFill="1" applyBorder="1" applyAlignment="1">
      <alignment horizontal="center" vertical="distributed" wrapText="1"/>
      <protection/>
    </xf>
    <xf numFmtId="0" fontId="5" fillId="0" borderId="76" xfId="141" applyFont="1" applyFill="1" applyBorder="1" applyAlignment="1">
      <alignment horizontal="center" vertical="distributed" wrapText="1"/>
      <protection/>
    </xf>
    <xf numFmtId="0" fontId="5" fillId="0" borderId="22" xfId="141" applyFont="1" applyFill="1" applyBorder="1" applyAlignment="1">
      <alignment horizontal="center" vertical="distributed" wrapText="1"/>
      <protection/>
    </xf>
    <xf numFmtId="0" fontId="5" fillId="0" borderId="28" xfId="136" applyFont="1" applyBorder="1" applyAlignment="1">
      <alignment horizontal="center"/>
      <protection/>
    </xf>
    <xf numFmtId="0" fontId="5" fillId="0" borderId="30" xfId="136" applyFont="1" applyBorder="1" applyAlignment="1">
      <alignment horizontal="center"/>
      <protection/>
    </xf>
    <xf numFmtId="0" fontId="4" fillId="11" borderId="13" xfId="137" applyFont="1" applyFill="1" applyBorder="1" applyAlignment="1">
      <alignment horizontal="center" vertical="distributed" wrapText="1"/>
      <protection/>
    </xf>
    <xf numFmtId="49" fontId="2" fillId="46" borderId="20" xfId="137" applyNumberFormat="1" applyFont="1" applyFill="1" applyBorder="1" applyAlignment="1">
      <alignment horizontal="center" vertical="distributed" wrapText="1"/>
      <protection/>
    </xf>
    <xf numFmtId="0" fontId="2" fillId="46" borderId="20" xfId="137" applyNumberFormat="1" applyFont="1" applyFill="1" applyBorder="1" applyAlignment="1">
      <alignment horizontal="center" vertical="distributed" wrapText="1"/>
      <protection/>
    </xf>
    <xf numFmtId="0" fontId="2" fillId="45" borderId="77" xfId="137" applyNumberFormat="1" applyFont="1" applyFill="1" applyBorder="1" applyAlignment="1">
      <alignment horizontal="justify" vertical="distributed" wrapText="1"/>
      <protection/>
    </xf>
    <xf numFmtId="49" fontId="2" fillId="31" borderId="20" xfId="137" applyNumberFormat="1" applyFont="1" applyFill="1" applyBorder="1" applyAlignment="1">
      <alignment horizontal="center" vertical="distributed" wrapText="1"/>
      <protection/>
    </xf>
    <xf numFmtId="0" fontId="2" fillId="31" borderId="20" xfId="137" applyNumberFormat="1" applyFont="1" applyFill="1" applyBorder="1" applyAlignment="1">
      <alignment horizontal="center" vertical="distributed" wrapText="1"/>
      <protection/>
    </xf>
    <xf numFmtId="0" fontId="2" fillId="0" borderId="77" xfId="137" applyNumberFormat="1" applyFont="1" applyBorder="1" applyAlignment="1">
      <alignment horizontal="justify" vertical="distributed" wrapText="1"/>
      <protection/>
    </xf>
    <xf numFmtId="177" fontId="2" fillId="0" borderId="78" xfId="137" applyNumberFormat="1" applyFont="1" applyBorder="1" applyAlignment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4" fillId="41" borderId="80" xfId="137" applyFont="1" applyFill="1" applyBorder="1" applyAlignment="1">
      <alignment horizontal="center" vertical="center" wrapText="1"/>
      <protection/>
    </xf>
    <xf numFmtId="0" fontId="4" fillId="41" borderId="81" xfId="137" applyFont="1" applyFill="1" applyBorder="1" applyAlignment="1">
      <alignment horizontal="center" vertical="center" wrapText="1"/>
      <protection/>
    </xf>
    <xf numFmtId="0" fontId="4" fillId="41" borderId="82" xfId="137" applyFont="1" applyFill="1" applyBorder="1" applyAlignment="1">
      <alignment horizontal="center" vertical="center" wrapText="1"/>
      <protection/>
    </xf>
    <xf numFmtId="0" fontId="4" fillId="41" borderId="83" xfId="137" applyFont="1" applyFill="1" applyBorder="1" applyAlignment="1">
      <alignment horizontal="center" vertical="center" wrapText="1"/>
      <protection/>
    </xf>
    <xf numFmtId="4" fontId="6" fillId="0" borderId="84" xfId="121" applyNumberFormat="1" applyFont="1" applyFill="1" applyBorder="1" applyAlignment="1" applyProtection="1">
      <alignment horizontal="center" vertical="center"/>
      <protection/>
    </xf>
    <xf numFmtId="4" fontId="6" fillId="0" borderId="85" xfId="121" applyNumberFormat="1" applyFont="1" applyFill="1" applyBorder="1" applyAlignment="1" applyProtection="1">
      <alignment horizontal="center" vertical="center"/>
      <protection/>
    </xf>
    <xf numFmtId="0" fontId="2" fillId="45" borderId="84" xfId="137" applyNumberFormat="1" applyFont="1" applyFill="1" applyBorder="1" applyAlignment="1">
      <alignment horizontal="justify" vertical="distributed" wrapText="1"/>
      <protection/>
    </xf>
    <xf numFmtId="0" fontId="2" fillId="45" borderId="85" xfId="137" applyNumberFormat="1" applyFont="1" applyFill="1" applyBorder="1" applyAlignment="1">
      <alignment horizontal="justify" vertical="distributed" wrapText="1"/>
      <protection/>
    </xf>
    <xf numFmtId="4" fontId="6" fillId="45" borderId="84" xfId="121" applyNumberFormat="1" applyFont="1" applyFill="1" applyBorder="1" applyAlignment="1" applyProtection="1">
      <alignment horizontal="center" vertical="center"/>
      <protection/>
    </xf>
    <xf numFmtId="4" fontId="6" fillId="45" borderId="85" xfId="121" applyNumberFormat="1" applyFont="1" applyFill="1" applyBorder="1" applyAlignment="1" applyProtection="1">
      <alignment horizontal="center" vertical="center"/>
      <protection/>
    </xf>
    <xf numFmtId="4" fontId="5" fillId="41" borderId="67" xfId="137" applyNumberFormat="1" applyFont="1" applyFill="1" applyBorder="1" applyAlignment="1">
      <alignment horizontal="center" vertical="center"/>
      <protection/>
    </xf>
    <xf numFmtId="4" fontId="5" fillId="41" borderId="68" xfId="137" applyNumberFormat="1" applyFont="1" applyFill="1" applyBorder="1" applyAlignment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177" fontId="2" fillId="45" borderId="78" xfId="137" applyNumberFormat="1" applyFont="1" applyFill="1" applyBorder="1" applyAlignment="1">
      <alignment horizontal="center" vertical="center"/>
      <protection/>
    </xf>
    <xf numFmtId="0" fontId="0" fillId="45" borderId="79" xfId="0" applyFill="1" applyBorder="1" applyAlignment="1">
      <alignment horizontal="center" vertical="center"/>
    </xf>
    <xf numFmtId="0" fontId="0" fillId="45" borderId="85" xfId="0" applyFill="1" applyBorder="1" applyAlignment="1">
      <alignment horizontal="center" vertical="center"/>
    </xf>
  </cellXfs>
  <cellStyles count="1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Calculation" xfId="78"/>
    <cellStyle name="Cálculo" xfId="79"/>
    <cellStyle name="Cálculo 2" xfId="80"/>
    <cellStyle name="Cancel 2" xfId="81"/>
    <cellStyle name="Cancel 2 2" xfId="82"/>
    <cellStyle name="Cancel 2_Cronograma" xfId="83"/>
    <cellStyle name="Cancel 4" xfId="84"/>
    <cellStyle name="Cancel_O_Emergencial-1" xfId="85"/>
    <cellStyle name="Célula de Verificação" xfId="86"/>
    <cellStyle name="Célula de Verificação 2" xfId="87"/>
    <cellStyle name="Célula Vinculada" xfId="88"/>
    <cellStyle name="Célula Vinculada 2" xfId="89"/>
    <cellStyle name="Check Cell" xfId="90"/>
    <cellStyle name="Ênfase1" xfId="91"/>
    <cellStyle name="Ênfase1 2" xfId="92"/>
    <cellStyle name="Ênfase2" xfId="93"/>
    <cellStyle name="Ênfase2 2" xfId="94"/>
    <cellStyle name="Ênfase3" xfId="95"/>
    <cellStyle name="Ênfase3 2" xfId="96"/>
    <cellStyle name="Ênfase4" xfId="97"/>
    <cellStyle name="Ênfase4 2" xfId="98"/>
    <cellStyle name="Ênfase5" xfId="99"/>
    <cellStyle name="Ênfase5 2" xfId="100"/>
    <cellStyle name="Ênfase6" xfId="101"/>
    <cellStyle name="Ênfase6 2" xfId="102"/>
    <cellStyle name="Entrada" xfId="103"/>
    <cellStyle name="Entrada 2" xfId="104"/>
    <cellStyle name="Excel Built-in Comma" xfId="105"/>
    <cellStyle name="Excel Built-in Normal" xfId="106"/>
    <cellStyle name="Excel Built-in Separador de milhares_Modelo de planilha orçamento PJ Ceilândia" xfId="107"/>
    <cellStyle name="Explanatory Text" xfId="108"/>
    <cellStyle name="Good" xfId="109"/>
    <cellStyle name="Heading 1" xfId="110"/>
    <cellStyle name="Heading 2" xfId="111"/>
    <cellStyle name="Heading 3" xfId="112"/>
    <cellStyle name="Heading 4" xfId="113"/>
    <cellStyle name="Hiperlink 2" xfId="114"/>
    <cellStyle name="Hyperlink" xfId="115"/>
    <cellStyle name="Followed Hyperlink" xfId="116"/>
    <cellStyle name="Incorreto" xfId="117"/>
    <cellStyle name="Incorreto 2" xfId="118"/>
    <cellStyle name="Input" xfId="119"/>
    <cellStyle name="Linked Cell" xfId="120"/>
    <cellStyle name="Currency" xfId="121"/>
    <cellStyle name="Currency [0]" xfId="122"/>
    <cellStyle name="Neutra" xfId="123"/>
    <cellStyle name="Neutra 2" xfId="124"/>
    <cellStyle name="Neutral" xfId="125"/>
    <cellStyle name="Normal 2" xfId="126"/>
    <cellStyle name="Normal 2 2" xfId="127"/>
    <cellStyle name="Normal 2 2 2" xfId="128"/>
    <cellStyle name="Normal 2 2_Cronograma" xfId="129"/>
    <cellStyle name="Normal 2 3" xfId="130"/>
    <cellStyle name="Normal 2_CCU's" xfId="131"/>
    <cellStyle name="Normal 202" xfId="132"/>
    <cellStyle name="Normal 3" xfId="133"/>
    <cellStyle name="Normal 4" xfId="134"/>
    <cellStyle name="Normal_Modelo de planilha orçamento PJ Ceilândia" xfId="135"/>
    <cellStyle name="Normal_Orç 037_2009 - Ar Condicionado Salas Técnicas - PJ Sobradinho" xfId="136"/>
    <cellStyle name="Normal_Orç 041_2009 Adaptação Copa PJ Ceilândia" xfId="137"/>
    <cellStyle name="Normal_Orç 041_2009 Adaptação Copa PJ Ceilândia_Orçamento Sintético" xfId="138"/>
    <cellStyle name="Normal_Orç 041_2009 Adaptação Copa PJ Ceilândia_Plan1" xfId="139"/>
    <cellStyle name="Normal_Orçamento estimativo" xfId="140"/>
    <cellStyle name="Normal_Plan1" xfId="141"/>
    <cellStyle name="Normal_Plan1_1 2" xfId="142"/>
    <cellStyle name="Normal_Plan1_Orç 041_2009 Adaptação Copa PJ Ceilândia" xfId="143"/>
    <cellStyle name="Nota" xfId="144"/>
    <cellStyle name="Nota 2" xfId="145"/>
    <cellStyle name="Note" xfId="146"/>
    <cellStyle name="Output" xfId="147"/>
    <cellStyle name="Percent" xfId="148"/>
    <cellStyle name="Saída" xfId="149"/>
    <cellStyle name="Saída 2" xfId="150"/>
    <cellStyle name="Comma" xfId="151"/>
    <cellStyle name="Comma [0]" xfId="152"/>
    <cellStyle name="Separador de milhares 2" xfId="153"/>
    <cellStyle name="Separador de milhares 2 2" xfId="154"/>
    <cellStyle name="Separador de milhares 2 2 2" xfId="155"/>
    <cellStyle name="Separador de milhares 2 2 2 2" xfId="156"/>
    <cellStyle name="Separador de milhares 2 2 3" xfId="157"/>
    <cellStyle name="Separador de milhares 2 2_Cronograma" xfId="158"/>
    <cellStyle name="Separador de milhares 2_CCU's" xfId="159"/>
    <cellStyle name="Separador de milhares 3 2" xfId="160"/>
    <cellStyle name="Separador de milhares 3 2 2" xfId="161"/>
    <cellStyle name="Separador de milhares_Orç 037_2009 - Ar Condicionado Salas Técnicas - PJ Sobradinho" xfId="162"/>
    <cellStyle name="Separador de milhares_Orç 041_2009 Adaptação Copa PJ Ceilândia" xfId="163"/>
    <cellStyle name="Texto de Aviso" xfId="164"/>
    <cellStyle name="Texto de Aviso 2" xfId="165"/>
    <cellStyle name="Texto Explicativo" xfId="166"/>
    <cellStyle name="Texto Explicativo 2" xfId="167"/>
    <cellStyle name="Title" xfId="168"/>
    <cellStyle name="Título" xfId="169"/>
    <cellStyle name="Título 1" xfId="170"/>
    <cellStyle name="Título 1 1" xfId="171"/>
    <cellStyle name="Título 1 1 1" xfId="172"/>
    <cellStyle name="Título 1 1_CCU's" xfId="173"/>
    <cellStyle name="Título 1 2" xfId="174"/>
    <cellStyle name="Título 2" xfId="175"/>
    <cellStyle name="Título 2 2" xfId="176"/>
    <cellStyle name="Título 3" xfId="177"/>
    <cellStyle name="Título 3 2" xfId="178"/>
    <cellStyle name="Título 4" xfId="179"/>
    <cellStyle name="Título 4 2" xfId="180"/>
    <cellStyle name="Título 5" xfId="181"/>
    <cellStyle name="Título 6" xfId="182"/>
    <cellStyle name="Título 7" xfId="183"/>
    <cellStyle name="Total" xfId="184"/>
    <cellStyle name="Total 2" xfId="185"/>
    <cellStyle name="Vírgula 2" xfId="186"/>
    <cellStyle name="Vírgula 2 2" xfId="187"/>
    <cellStyle name="Vírgula 3" xfId="188"/>
    <cellStyle name="Warning Text" xfId="189"/>
  </cellStyles>
  <dxfs count="5">
    <dxf>
      <font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color indexed="9"/>
      </font>
    </dxf>
    <dxf>
      <fill>
        <patternFill patternType="solid">
          <fgColor indexed="41"/>
          <bgColor indexed="27"/>
        </patternFill>
      </fill>
    </dxf>
    <dxf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Cronograma!$E$40:$E$40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214603"/>
        <c:axId val="65680976"/>
      </c:lineChart>
      <c:catAx>
        <c:axId val="1021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0976"/>
        <c:crosses val="autoZero"/>
        <c:auto val="1"/>
        <c:lblOffset val="100"/>
        <c:tickLblSkip val="1"/>
        <c:noMultiLvlLbl val="0"/>
      </c:catAx>
      <c:valAx>
        <c:axId val="6568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14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Cronograma!$E$38:$E$38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546321"/>
        <c:axId val="27122398"/>
      </c:lineChart>
      <c:catAx>
        <c:axId val="4854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2398"/>
        <c:crosses val="autoZero"/>
        <c:auto val="1"/>
        <c:lblOffset val="100"/>
        <c:tickLblSkip val="1"/>
        <c:noMultiLvlLbl val="0"/>
      </c:catAx>
      <c:valAx>
        <c:axId val="27122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6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40</xdr:row>
      <xdr:rowOff>0</xdr:rowOff>
    </xdr:from>
    <xdr:to>
      <xdr:col>3</xdr:col>
      <xdr:colOff>590550</xdr:colOff>
      <xdr:row>40</xdr:row>
      <xdr:rowOff>0</xdr:rowOff>
    </xdr:to>
    <xdr:graphicFrame>
      <xdr:nvGraphicFramePr>
        <xdr:cNvPr id="1" name="Gráfico 790"/>
        <xdr:cNvGraphicFramePr/>
      </xdr:nvGraphicFramePr>
      <xdr:xfrm>
        <a:off x="95250" y="63627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40</xdr:row>
      <xdr:rowOff>0</xdr:rowOff>
    </xdr:from>
    <xdr:to>
      <xdr:col>3</xdr:col>
      <xdr:colOff>581025</xdr:colOff>
      <xdr:row>40</xdr:row>
      <xdr:rowOff>0</xdr:rowOff>
    </xdr:to>
    <xdr:graphicFrame>
      <xdr:nvGraphicFramePr>
        <xdr:cNvPr id="2" name="Gráfico 791"/>
        <xdr:cNvGraphicFramePr/>
      </xdr:nvGraphicFramePr>
      <xdr:xfrm>
        <a:off x="95250" y="636270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br01.webdms.sika.com/fileshow.do?documentID=49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br01.webdms.sika.com/fileshow.do?documentID=49" TargetMode="External" /><Relationship Id="rId7" Type="http://schemas.openxmlformats.org/officeDocument/2006/relationships/hyperlink" Target="http://br01.webdms.sika.com/fileshow.do?documentID=49" TargetMode="External" /><Relationship Id="rId8" Type="http://schemas.openxmlformats.org/officeDocument/2006/relationships/hyperlink" Target="http://br01.webdms.sika.com/fileshow.do?documentID=49" TargetMode="Externa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br01.webdms.sika.com/fileshow.do?documentID=49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br01.webdms.sika.com/fileshow.do?documentID=49" TargetMode="External" /><Relationship Id="rId7" Type="http://schemas.openxmlformats.org/officeDocument/2006/relationships/hyperlink" Target="http://br01.webdms.sika.com/fileshow.do?documentID=49" TargetMode="External" /><Relationship Id="rId8" Type="http://schemas.openxmlformats.org/officeDocument/2006/relationships/hyperlink" Target="http://br01.webdms.sika.com/fileshow.do?documentID=49" TargetMode="External" /><Relationship Id="rId9" Type="http://schemas.openxmlformats.org/officeDocument/2006/relationships/hyperlink" Target="http://br01.webdms.sika.com/fileshow.do?documentID=49" TargetMode="External" /><Relationship Id="rId10" Type="http://schemas.openxmlformats.org/officeDocument/2006/relationships/hyperlink" Target="http://br01.webdms.sika.com/fileshow.do?documentID=49" TargetMode="External" /><Relationship Id="rId11" Type="http://schemas.openxmlformats.org/officeDocument/2006/relationships/hyperlink" Target="http://br01.webdms.sika.com/fileshow.do?documentID=49" TargetMode="External" /><Relationship Id="rId12" Type="http://schemas.openxmlformats.org/officeDocument/2006/relationships/hyperlink" Target="http://br01.webdms.sika.com/fileshow.do?documentID=49" TargetMode="External" /><Relationship Id="rId13" Type="http://schemas.openxmlformats.org/officeDocument/2006/relationships/hyperlink" Target="http://br01.webdms.sika.com/fileshow.do?documentID=49" TargetMode="External" /><Relationship Id="rId14" Type="http://schemas.openxmlformats.org/officeDocument/2006/relationships/hyperlink" Target="http://br01.webdms.sika.com/fileshow.do?documentID=49" TargetMode="External" /><Relationship Id="rId15" Type="http://schemas.openxmlformats.org/officeDocument/2006/relationships/hyperlink" Target="http://br01.webdms.sika.com/fileshow.do?documentID=49" TargetMode="External" /><Relationship Id="rId16" Type="http://schemas.openxmlformats.org/officeDocument/2006/relationships/hyperlink" Target="http://br01.webdms.sika.com/fileshow.do?documentID=49" TargetMode="External" /><Relationship Id="rId17" Type="http://schemas.openxmlformats.org/officeDocument/2006/relationships/hyperlink" Target="http://br01.webdms.sika.com/fileshow.do?documentID=49" TargetMode="External" /><Relationship Id="rId18" Type="http://schemas.openxmlformats.org/officeDocument/2006/relationships/hyperlink" Target="http://br01.webdms.sika.com/fileshow.do?documentID=49" TargetMode="External" /><Relationship Id="rId19" Type="http://schemas.openxmlformats.org/officeDocument/2006/relationships/hyperlink" Target="http://br01.webdms.sika.com/fileshow.do?documentID=49" TargetMode="External" /><Relationship Id="rId20" Type="http://schemas.openxmlformats.org/officeDocument/2006/relationships/hyperlink" Target="http://br01.webdms.sika.com/fileshow.do?documentID=49" TargetMode="External" /><Relationship Id="rId21" Type="http://schemas.openxmlformats.org/officeDocument/2006/relationships/hyperlink" Target="http://br01.webdms.sika.com/fileshow.do?documentID=49" TargetMode="External" /><Relationship Id="rId22" Type="http://schemas.openxmlformats.org/officeDocument/2006/relationships/hyperlink" Target="http://br01.webdms.sika.com/fileshow.do?documentID=49" TargetMode="External" /><Relationship Id="rId23" Type="http://schemas.openxmlformats.org/officeDocument/2006/relationships/hyperlink" Target="http://br01.webdms.sika.com/fileshow.do?documentID=49" TargetMode="External" /><Relationship Id="rId24" Type="http://schemas.openxmlformats.org/officeDocument/2006/relationships/hyperlink" Target="http://br01.webdms.sika.com/fileshow.do?documentID=49" TargetMode="External" /><Relationship Id="rId25" Type="http://schemas.openxmlformats.org/officeDocument/2006/relationships/hyperlink" Target="http://br01.webdms.sika.com/fileshow.do?documentID=49" TargetMode="External" /><Relationship Id="rId26" Type="http://schemas.openxmlformats.org/officeDocument/2006/relationships/hyperlink" Target="http://br01.webdms.sika.com/fileshow.do?documentID=49" TargetMode="External" /><Relationship Id="rId27" Type="http://schemas.openxmlformats.org/officeDocument/2006/relationships/hyperlink" Target="http://br01.webdms.sika.com/fileshow.do?documentID=49" TargetMode="External" /><Relationship Id="rId28" Type="http://schemas.openxmlformats.org/officeDocument/2006/relationships/hyperlink" Target="http://br01.webdms.sika.com/fileshow.do?documentID=49" TargetMode="External" /><Relationship Id="rId29" Type="http://schemas.openxmlformats.org/officeDocument/2006/relationships/hyperlink" Target="http://br01.webdms.sika.com/fileshow.do?documentID=49" TargetMode="External" /><Relationship Id="rId30" Type="http://schemas.openxmlformats.org/officeDocument/2006/relationships/hyperlink" Target="http://br01.webdms.sika.com/fileshow.do?documentID=49" TargetMode="External" /><Relationship Id="rId31" Type="http://schemas.openxmlformats.org/officeDocument/2006/relationships/hyperlink" Target="http://br01.webdms.sika.com/fileshow.do?documentID=49" TargetMode="External" /><Relationship Id="rId32" Type="http://schemas.openxmlformats.org/officeDocument/2006/relationships/hyperlink" Target="http://br01.webdms.sika.com/fileshow.do?documentID=49" TargetMode="External" /><Relationship Id="rId33" Type="http://schemas.openxmlformats.org/officeDocument/2006/relationships/hyperlink" Target="http://br01.webdms.sika.com/fileshow.do?documentID=49" TargetMode="External" /><Relationship Id="rId34" Type="http://schemas.openxmlformats.org/officeDocument/2006/relationships/hyperlink" Target="http://br01.webdms.sika.com/fileshow.do?documentID=49" TargetMode="External" /><Relationship Id="rId35" Type="http://schemas.openxmlformats.org/officeDocument/2006/relationships/hyperlink" Target="http://br01.webdms.sika.com/fileshow.do?documentID=49" TargetMode="External" /><Relationship Id="rId36" Type="http://schemas.openxmlformats.org/officeDocument/2006/relationships/hyperlink" Target="http://br01.webdms.sika.com/fileshow.do?documentID=49" TargetMode="External" /><Relationship Id="rId37" Type="http://schemas.openxmlformats.org/officeDocument/2006/relationships/hyperlink" Target="http://br01.webdms.sika.com/fileshow.do?documentID=49" TargetMode="External" /><Relationship Id="rId38" Type="http://schemas.openxmlformats.org/officeDocument/2006/relationships/hyperlink" Target="http://br01.webdms.sika.com/fileshow.do?documentID=49" TargetMode="External" /><Relationship Id="rId39" Type="http://schemas.openxmlformats.org/officeDocument/2006/relationships/hyperlink" Target="http://br01.webdms.sika.com/fileshow.do?documentID=49" TargetMode="External" /><Relationship Id="rId40" Type="http://schemas.openxmlformats.org/officeDocument/2006/relationships/hyperlink" Target="http://br01.webdms.sika.com/fileshow.do?documentID=49" TargetMode="External" /><Relationship Id="rId41" Type="http://schemas.openxmlformats.org/officeDocument/2006/relationships/hyperlink" Target="http://br01.webdms.sika.com/fileshow.do?documentID=49" TargetMode="External" /><Relationship Id="rId42" Type="http://schemas.openxmlformats.org/officeDocument/2006/relationships/hyperlink" Target="http://br01.webdms.sika.com/fileshow.do?documentID=49" TargetMode="External" /><Relationship Id="rId43" Type="http://schemas.openxmlformats.org/officeDocument/2006/relationships/hyperlink" Target="http://br01.webdms.sika.com/fileshow.do?documentID=49" TargetMode="External" /><Relationship Id="rId44" Type="http://schemas.openxmlformats.org/officeDocument/2006/relationships/hyperlink" Target="http://br01.webdms.sika.com/fileshow.do?documentID=49" TargetMode="External" /><Relationship Id="rId45" Type="http://schemas.openxmlformats.org/officeDocument/2006/relationships/hyperlink" Target="http://br01.webdms.sika.com/fileshow.do?documentID=49" TargetMode="External" /><Relationship Id="rId46" Type="http://schemas.openxmlformats.org/officeDocument/2006/relationships/hyperlink" Target="http://br01.webdms.sika.com/fileshow.do?documentID=49" TargetMode="External" /><Relationship Id="rId47" Type="http://schemas.openxmlformats.org/officeDocument/2006/relationships/hyperlink" Target="http://br01.webdms.sika.com/fileshow.do?documentID=49" TargetMode="External" /><Relationship Id="rId48" Type="http://schemas.openxmlformats.org/officeDocument/2006/relationships/hyperlink" Target="http://br01.webdms.sika.com/fileshow.do?documentID=49" TargetMode="External" /><Relationship Id="rId49" Type="http://schemas.openxmlformats.org/officeDocument/2006/relationships/hyperlink" Target="http://br01.webdms.sika.com/fileshow.do?documentID=49" TargetMode="External" /><Relationship Id="rId50" Type="http://schemas.openxmlformats.org/officeDocument/2006/relationships/hyperlink" Target="http://br01.webdms.sika.com/fileshow.do?documentID=49" TargetMode="External" /><Relationship Id="rId51" Type="http://schemas.openxmlformats.org/officeDocument/2006/relationships/hyperlink" Target="http://br01.webdms.sika.com/fileshow.do?documentID=49" TargetMode="External" /><Relationship Id="rId52" Type="http://schemas.openxmlformats.org/officeDocument/2006/relationships/hyperlink" Target="http://br01.webdms.sika.com/fileshow.do?documentID=49" TargetMode="External" /><Relationship Id="rId53" Type="http://schemas.openxmlformats.org/officeDocument/2006/relationships/hyperlink" Target="http://br01.webdms.sika.com/fileshow.do?documentID=49" TargetMode="External" /><Relationship Id="rId54" Type="http://schemas.openxmlformats.org/officeDocument/2006/relationships/hyperlink" Target="http://br01.webdms.sika.com/fileshow.do?documentID=49" TargetMode="External" /><Relationship Id="rId55" Type="http://schemas.openxmlformats.org/officeDocument/2006/relationships/hyperlink" Target="http://br01.webdms.sika.com/fileshow.do?documentID=49" TargetMode="External" /><Relationship Id="rId56" Type="http://schemas.openxmlformats.org/officeDocument/2006/relationships/hyperlink" Target="http://br01.webdms.sika.com/fileshow.do?documentID=49" TargetMode="External" /><Relationship Id="rId57" Type="http://schemas.openxmlformats.org/officeDocument/2006/relationships/hyperlink" Target="http://br01.webdms.sika.com/fileshow.do?documentID=49" TargetMode="External" /><Relationship Id="rId58" Type="http://schemas.openxmlformats.org/officeDocument/2006/relationships/hyperlink" Target="http://br01.webdms.sika.com/fileshow.do?documentID=49" TargetMode="External" /><Relationship Id="rId59" Type="http://schemas.openxmlformats.org/officeDocument/2006/relationships/hyperlink" Target="http://br01.webdms.sika.com/fileshow.do?documentID=49" TargetMode="External" /><Relationship Id="rId60" Type="http://schemas.openxmlformats.org/officeDocument/2006/relationships/hyperlink" Target="http://br01.webdms.sika.com/fileshow.do?documentID=49" TargetMode="External" /><Relationship Id="rId61" Type="http://schemas.openxmlformats.org/officeDocument/2006/relationships/hyperlink" Target="http://br01.webdms.sika.com/fileshow.do?documentID=49" TargetMode="External" /><Relationship Id="rId62" Type="http://schemas.openxmlformats.org/officeDocument/2006/relationships/hyperlink" Target="http://br01.webdms.sika.com/fileshow.do?documentID=49" TargetMode="External" /><Relationship Id="rId63" Type="http://schemas.openxmlformats.org/officeDocument/2006/relationships/hyperlink" Target="http://br01.webdms.sika.com/fileshow.do?documentID=49" TargetMode="External" /><Relationship Id="rId64" Type="http://schemas.openxmlformats.org/officeDocument/2006/relationships/hyperlink" Target="http://br01.webdms.sika.com/fileshow.do?documentID=49" TargetMode="External" /><Relationship Id="rId6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br01.webdms.sika.com/fileshow.do?documentID=49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br01.webdms.sika.com/fileshow.do?documentID=49" TargetMode="External" /><Relationship Id="rId7" Type="http://schemas.openxmlformats.org/officeDocument/2006/relationships/hyperlink" Target="http://br01.webdms.sika.com/fileshow.do?documentID=49" TargetMode="External" /><Relationship Id="rId8" Type="http://schemas.openxmlformats.org/officeDocument/2006/relationships/hyperlink" Target="http://br01.webdms.sika.com/fileshow.do?documentID=49" TargetMode="Externa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6.8515625" style="0" customWidth="1"/>
    <col min="2" max="2" width="84.28125" style="0" customWidth="1"/>
  </cols>
  <sheetData>
    <row r="1" spans="1:2" ht="12.75">
      <c r="A1" s="313" t="s">
        <v>263</v>
      </c>
      <c r="B1" s="314"/>
    </row>
    <row r="2" spans="1:2" ht="12.75">
      <c r="A2" s="266"/>
      <c r="B2" s="267"/>
    </row>
    <row r="3" spans="1:2" ht="12.75">
      <c r="A3" s="268"/>
      <c r="B3" s="269" t="s">
        <v>264</v>
      </c>
    </row>
    <row r="4" spans="1:2" ht="33.75">
      <c r="A4" s="270">
        <v>1</v>
      </c>
      <c r="B4" s="271" t="s">
        <v>295</v>
      </c>
    </row>
    <row r="5" spans="1:2" ht="12.75">
      <c r="A5" s="270">
        <v>2</v>
      </c>
      <c r="B5" s="271" t="s">
        <v>265</v>
      </c>
    </row>
    <row r="6" spans="1:2" ht="22.5">
      <c r="A6" s="270" t="s">
        <v>266</v>
      </c>
      <c r="B6" s="271" t="s">
        <v>296</v>
      </c>
    </row>
    <row r="7" spans="1:2" ht="22.5">
      <c r="A7" s="270" t="s">
        <v>267</v>
      </c>
      <c r="B7" s="271" t="s">
        <v>297</v>
      </c>
    </row>
    <row r="8" spans="1:2" ht="22.5">
      <c r="A8" s="270" t="s">
        <v>268</v>
      </c>
      <c r="B8" s="271" t="s">
        <v>298</v>
      </c>
    </row>
    <row r="9" spans="1:2" ht="12.75">
      <c r="A9" s="270" t="s">
        <v>269</v>
      </c>
      <c r="B9" s="271" t="s">
        <v>319</v>
      </c>
    </row>
    <row r="10" spans="1:2" ht="22.5">
      <c r="A10" s="272" t="s">
        <v>270</v>
      </c>
      <c r="B10" s="273" t="s">
        <v>299</v>
      </c>
    </row>
    <row r="11" spans="1:2" ht="12.75">
      <c r="A11" s="274"/>
      <c r="B11" s="275"/>
    </row>
    <row r="12" spans="1:2" ht="12.75">
      <c r="A12" s="268" t="s">
        <v>131</v>
      </c>
      <c r="B12" s="269" t="s">
        <v>271</v>
      </c>
    </row>
    <row r="13" spans="1:2" ht="22.5">
      <c r="A13" s="270" t="s">
        <v>97</v>
      </c>
      <c r="B13" s="271" t="s">
        <v>300</v>
      </c>
    </row>
    <row r="14" spans="1:2" ht="22.5">
      <c r="A14" s="270" t="s">
        <v>115</v>
      </c>
      <c r="B14" s="271" t="s">
        <v>301</v>
      </c>
    </row>
    <row r="15" spans="1:2" ht="12.75">
      <c r="A15" s="276" t="s">
        <v>25</v>
      </c>
      <c r="B15" s="277" t="s">
        <v>272</v>
      </c>
    </row>
    <row r="16" spans="1:2" ht="12.75">
      <c r="A16" s="270" t="s">
        <v>107</v>
      </c>
      <c r="B16" s="271" t="s">
        <v>302</v>
      </c>
    </row>
    <row r="17" spans="1:2" ht="22.5">
      <c r="A17" s="270" t="s">
        <v>135</v>
      </c>
      <c r="B17" s="271" t="s">
        <v>273</v>
      </c>
    </row>
    <row r="18" spans="1:2" ht="22.5">
      <c r="A18" s="270" t="s">
        <v>137</v>
      </c>
      <c r="B18" s="271" t="s">
        <v>274</v>
      </c>
    </row>
    <row r="19" spans="1:2" ht="12.75">
      <c r="A19" s="276" t="s">
        <v>38</v>
      </c>
      <c r="B19" s="277" t="s">
        <v>275</v>
      </c>
    </row>
    <row r="20" spans="1:2" ht="12.75">
      <c r="A20" s="270" t="s">
        <v>28</v>
      </c>
      <c r="B20" s="271" t="s">
        <v>276</v>
      </c>
    </row>
    <row r="21" spans="1:2" ht="22.5">
      <c r="A21" s="278" t="s">
        <v>30</v>
      </c>
      <c r="B21" s="279" t="s">
        <v>277</v>
      </c>
    </row>
    <row r="22" spans="1:2" ht="22.5">
      <c r="A22" s="270" t="s">
        <v>32</v>
      </c>
      <c r="B22" s="279" t="s">
        <v>303</v>
      </c>
    </row>
    <row r="23" spans="1:2" ht="12.75">
      <c r="A23" s="276" t="s">
        <v>278</v>
      </c>
      <c r="B23" s="277" t="s">
        <v>279</v>
      </c>
    </row>
    <row r="24" spans="1:2" ht="33.75">
      <c r="A24" s="270" t="s">
        <v>40</v>
      </c>
      <c r="B24" s="271" t="s">
        <v>304</v>
      </c>
    </row>
    <row r="25" spans="1:2" ht="22.5">
      <c r="A25" s="270" t="s">
        <v>42</v>
      </c>
      <c r="B25" s="271" t="s">
        <v>280</v>
      </c>
    </row>
    <row r="26" spans="1:2" ht="12.75">
      <c r="A26" s="270" t="s">
        <v>281</v>
      </c>
      <c r="B26" s="271" t="s">
        <v>282</v>
      </c>
    </row>
    <row r="27" spans="1:2" ht="12.75">
      <c r="A27" s="276" t="s">
        <v>283</v>
      </c>
      <c r="B27" s="277" t="s">
        <v>284</v>
      </c>
    </row>
    <row r="28" spans="1:2" ht="22.5">
      <c r="A28" s="270" t="s">
        <v>285</v>
      </c>
      <c r="B28" s="271" t="s">
        <v>286</v>
      </c>
    </row>
    <row r="29" spans="1:2" ht="12.75">
      <c r="A29" s="280" t="s">
        <v>287</v>
      </c>
      <c r="B29" s="281" t="s">
        <v>288</v>
      </c>
    </row>
    <row r="30" spans="1:2" ht="12.75">
      <c r="A30" s="282" t="s">
        <v>289</v>
      </c>
      <c r="B30" s="283" t="s">
        <v>290</v>
      </c>
    </row>
    <row r="31" spans="1:2" ht="22.5">
      <c r="A31" s="282" t="s">
        <v>291</v>
      </c>
      <c r="B31" s="283" t="s">
        <v>292</v>
      </c>
    </row>
    <row r="32" spans="1:2" ht="22.5">
      <c r="A32" s="284" t="s">
        <v>293</v>
      </c>
      <c r="B32" s="285" t="s">
        <v>294</v>
      </c>
    </row>
  </sheetData>
  <sheetProtection/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view="pageBreakPreview" zoomScaleSheetLayoutView="100" zoomScalePageLayoutView="0" workbookViewId="0" topLeftCell="A1">
      <pane xSplit="7" ySplit="9" topLeftCell="H10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52" sqref="A52"/>
    </sheetView>
  </sheetViews>
  <sheetFormatPr defaultColWidth="9.28125" defaultRowHeight="12.75"/>
  <cols>
    <col min="1" max="1" width="12.7109375" style="1" customWidth="1"/>
    <col min="2" max="2" width="8.7109375" style="4" customWidth="1"/>
    <col min="3" max="3" width="37.7109375" style="1" customWidth="1"/>
    <col min="4" max="4" width="6.7109375" style="4" customWidth="1"/>
    <col min="5" max="5" width="9.7109375" style="28" customWidth="1"/>
    <col min="6" max="6" width="9.7109375" style="191" customWidth="1"/>
    <col min="7" max="7" width="11.7109375" style="28" customWidth="1"/>
    <col min="8" max="16384" width="9.28125" style="3" customWidth="1"/>
  </cols>
  <sheetData>
    <row r="1" spans="1:7" ht="18.75">
      <c r="A1" s="329" t="s">
        <v>153</v>
      </c>
      <c r="B1" s="330"/>
      <c r="C1" s="330"/>
      <c r="D1" s="330"/>
      <c r="E1" s="331"/>
      <c r="F1" s="289" t="s">
        <v>312</v>
      </c>
      <c r="G1" s="257"/>
    </row>
    <row r="2" spans="1:7" s="52" customFormat="1" ht="11.25">
      <c r="A2" s="241" t="s">
        <v>188</v>
      </c>
      <c r="B2" s="58"/>
      <c r="C2" s="59"/>
      <c r="D2" s="58"/>
      <c r="E2" s="60"/>
      <c r="F2" s="321"/>
      <c r="G2" s="322"/>
    </row>
    <row r="3" spans="1:7" s="52" customFormat="1" ht="11.25">
      <c r="A3" s="242" t="s">
        <v>248</v>
      </c>
      <c r="B3" s="63"/>
      <c r="C3" s="64"/>
      <c r="D3" s="65"/>
      <c r="E3" s="66"/>
      <c r="F3" s="323"/>
      <c r="G3" s="324"/>
    </row>
    <row r="4" spans="1:7" s="52" customFormat="1" ht="11.25" customHeight="1">
      <c r="A4" s="286" t="s">
        <v>305</v>
      </c>
      <c r="B4" s="287"/>
      <c r="C4" s="288" t="s">
        <v>306</v>
      </c>
      <c r="D4" s="286" t="s">
        <v>307</v>
      </c>
      <c r="E4" s="287"/>
      <c r="F4" s="289" t="s">
        <v>308</v>
      </c>
      <c r="G4" s="290"/>
    </row>
    <row r="5" spans="1:7" s="52" customFormat="1" ht="11.25" customHeight="1">
      <c r="A5" s="317"/>
      <c r="B5" s="318"/>
      <c r="C5" s="291"/>
      <c r="D5" s="317"/>
      <c r="E5" s="318"/>
      <c r="F5" s="319"/>
      <c r="G5" s="320"/>
    </row>
    <row r="6" spans="1:7" s="52" customFormat="1" ht="11.25" customHeight="1">
      <c r="A6" s="286" t="s">
        <v>6</v>
      </c>
      <c r="B6" s="287"/>
      <c r="C6" s="288" t="s">
        <v>309</v>
      </c>
      <c r="D6" s="286" t="s">
        <v>310</v>
      </c>
      <c r="E6" s="287"/>
      <c r="F6" s="289" t="s">
        <v>311</v>
      </c>
      <c r="G6" s="290"/>
    </row>
    <row r="7" spans="1:7" s="52" customFormat="1" ht="11.25" customHeight="1">
      <c r="A7" s="315"/>
      <c r="B7" s="316"/>
      <c r="C7" s="291"/>
      <c r="D7" s="317"/>
      <c r="E7" s="318"/>
      <c r="F7" s="319"/>
      <c r="G7" s="320"/>
    </row>
    <row r="8" spans="1:7" s="67" customFormat="1" ht="6.75" customHeight="1">
      <c r="A8" s="90"/>
      <c r="B8" s="90"/>
      <c r="C8" s="90"/>
      <c r="D8" s="90"/>
      <c r="E8" s="292"/>
      <c r="F8" s="293"/>
      <c r="G8" s="292"/>
    </row>
    <row r="9" spans="1:7" ht="22.5">
      <c r="A9" s="151" t="s">
        <v>51</v>
      </c>
      <c r="B9" s="152" t="s">
        <v>52</v>
      </c>
      <c r="C9" s="152" t="s">
        <v>53</v>
      </c>
      <c r="D9" s="152" t="s">
        <v>54</v>
      </c>
      <c r="E9" s="153" t="s">
        <v>55</v>
      </c>
      <c r="F9" s="185" t="s">
        <v>56</v>
      </c>
      <c r="G9" s="154" t="s">
        <v>57</v>
      </c>
    </row>
    <row r="10" spans="1:7" s="43" customFormat="1" ht="12.75">
      <c r="A10" s="155"/>
      <c r="B10" s="156" t="s">
        <v>76</v>
      </c>
      <c r="C10" s="157" t="s">
        <v>77</v>
      </c>
      <c r="D10" s="158"/>
      <c r="E10" s="159"/>
      <c r="F10" s="51"/>
      <c r="G10" s="159">
        <f>SUM(G11:G12)/2</f>
        <v>226.5</v>
      </c>
    </row>
    <row r="11" spans="1:7" ht="12.75">
      <c r="A11" s="160"/>
      <c r="B11" s="161" t="s">
        <v>86</v>
      </c>
      <c r="C11" s="162" t="s">
        <v>87</v>
      </c>
      <c r="D11" s="163"/>
      <c r="E11" s="164"/>
      <c r="F11" s="39"/>
      <c r="G11" s="164">
        <f>SUM(G12:G12)</f>
        <v>226.5</v>
      </c>
    </row>
    <row r="12" spans="1:7" ht="22.5">
      <c r="A12" s="175" t="str">
        <f>"CCU "&amp;B12</f>
        <v>CCU 01.08.001</v>
      </c>
      <c r="B12" s="176" t="s">
        <v>88</v>
      </c>
      <c r="C12" s="193" t="s">
        <v>12</v>
      </c>
      <c r="D12" s="180" t="s">
        <v>59</v>
      </c>
      <c r="E12" s="177">
        <v>1</v>
      </c>
      <c r="F12" s="189">
        <f>VLOOKUP(A12,'CCU''s'!$A:$G,7,0)</f>
        <v>226.5</v>
      </c>
      <c r="G12" s="178">
        <f>ROUND(E12*F12,2)</f>
        <v>226.5</v>
      </c>
    </row>
    <row r="13" spans="1:7" s="43" customFormat="1" ht="12.75">
      <c r="A13" s="155"/>
      <c r="B13" s="156" t="s">
        <v>78</v>
      </c>
      <c r="C13" s="157" t="s">
        <v>58</v>
      </c>
      <c r="D13" s="158"/>
      <c r="E13" s="159"/>
      <c r="F13" s="51"/>
      <c r="G13" s="159">
        <f>SUM(G14:G19)/2</f>
        <v>2623.7</v>
      </c>
    </row>
    <row r="14" spans="1:7" s="43" customFormat="1" ht="12.75">
      <c r="A14" s="165"/>
      <c r="B14" s="166" t="s">
        <v>89</v>
      </c>
      <c r="C14" s="167" t="s">
        <v>2</v>
      </c>
      <c r="D14" s="168"/>
      <c r="E14" s="169"/>
      <c r="F14" s="186"/>
      <c r="G14" s="169"/>
    </row>
    <row r="15" spans="1:7" s="43" customFormat="1" ht="12.75">
      <c r="A15" s="170"/>
      <c r="B15" s="171" t="s">
        <v>90</v>
      </c>
      <c r="C15" s="172" t="s">
        <v>91</v>
      </c>
      <c r="D15" s="173"/>
      <c r="E15" s="174"/>
      <c r="F15" s="187"/>
      <c r="G15" s="174">
        <f>SUM(G16:G19)</f>
        <v>2623.7</v>
      </c>
    </row>
    <row r="16" spans="1:7" s="194" customFormat="1" ht="12.75">
      <c r="A16" s="175" t="str">
        <f>"CCU "&amp;B16</f>
        <v>CCU 02.02.301</v>
      </c>
      <c r="B16" s="176" t="s">
        <v>70</v>
      </c>
      <c r="C16" s="193" t="s">
        <v>189</v>
      </c>
      <c r="D16" s="180" t="s">
        <v>61</v>
      </c>
      <c r="E16" s="177">
        <v>203</v>
      </c>
      <c r="F16" s="189">
        <f>VLOOKUP(A16,'CCU''s'!$A:$G,7,0)</f>
        <v>9.370000000000001</v>
      </c>
      <c r="G16" s="178">
        <f>ROUND(E16*F16,2)</f>
        <v>1902.11</v>
      </c>
    </row>
    <row r="17" spans="1:7" s="194" customFormat="1" ht="22.5">
      <c r="A17" s="175" t="str">
        <f>"CCU "&amp;B17</f>
        <v>CCU 02.02.302</v>
      </c>
      <c r="B17" s="176" t="s">
        <v>172</v>
      </c>
      <c r="C17" s="193" t="s">
        <v>191</v>
      </c>
      <c r="D17" s="180" t="s">
        <v>60</v>
      </c>
      <c r="E17" s="177">
        <v>1</v>
      </c>
      <c r="F17" s="189">
        <f>VLOOKUP(A17,'CCU''s'!$A:$G,7,0)</f>
        <v>89.49</v>
      </c>
      <c r="G17" s="178">
        <f>ROUND(E17*F17,2)</f>
        <v>89.49</v>
      </c>
    </row>
    <row r="18" spans="1:7" s="194" customFormat="1" ht="22.5">
      <c r="A18" s="175" t="str">
        <f>"CCU "&amp;B18</f>
        <v>CCU 02.02.303</v>
      </c>
      <c r="B18" s="176" t="s">
        <v>203</v>
      </c>
      <c r="C18" s="193" t="s">
        <v>255</v>
      </c>
      <c r="D18" s="180" t="s">
        <v>60</v>
      </c>
      <c r="E18" s="177">
        <v>1</v>
      </c>
      <c r="F18" s="189">
        <f>VLOOKUP(A18,'CCU''s'!$A:$G,7,0)</f>
        <v>436.68000000000006</v>
      </c>
      <c r="G18" s="178">
        <f>ROUND(E18*F18,2)</f>
        <v>436.68</v>
      </c>
    </row>
    <row r="19" spans="1:7" ht="12.75">
      <c r="A19" s="175" t="str">
        <f>"CCU "&amp;B19</f>
        <v>CCU 02.02.304</v>
      </c>
      <c r="B19" s="176" t="s">
        <v>254</v>
      </c>
      <c r="C19" s="193" t="s">
        <v>224</v>
      </c>
      <c r="D19" s="180" t="s">
        <v>63</v>
      </c>
      <c r="E19" s="177">
        <v>3</v>
      </c>
      <c r="F19" s="189">
        <f>VLOOKUP(A19,'CCU''s'!$A:$G,7,0)</f>
        <v>65.14</v>
      </c>
      <c r="G19" s="178">
        <f>ROUND(E19*F19,2)</f>
        <v>195.42</v>
      </c>
    </row>
    <row r="20" spans="1:7" s="43" customFormat="1" ht="12.75">
      <c r="A20" s="179"/>
      <c r="B20" s="156" t="s">
        <v>79</v>
      </c>
      <c r="C20" s="157" t="s">
        <v>81</v>
      </c>
      <c r="D20" s="158"/>
      <c r="E20" s="159"/>
      <c r="F20" s="51"/>
      <c r="G20" s="159">
        <f>SUM(G21:G29)/2</f>
        <v>20498.449999999997</v>
      </c>
    </row>
    <row r="21" spans="1:7" ht="12.75">
      <c r="A21" s="165"/>
      <c r="B21" s="166" t="s">
        <v>71</v>
      </c>
      <c r="C21" s="167" t="s">
        <v>72</v>
      </c>
      <c r="D21" s="168"/>
      <c r="E21" s="169"/>
      <c r="F21" s="186"/>
      <c r="G21" s="169"/>
    </row>
    <row r="22" spans="1:7" ht="12.75">
      <c r="A22" s="170"/>
      <c r="B22" s="171" t="s">
        <v>257</v>
      </c>
      <c r="C22" s="172" t="s">
        <v>258</v>
      </c>
      <c r="D22" s="173"/>
      <c r="E22" s="174"/>
      <c r="F22" s="187"/>
      <c r="G22" s="174">
        <f>SUM(G23:G24)</f>
        <v>1506.98</v>
      </c>
    </row>
    <row r="23" spans="1:7" ht="12.75">
      <c r="A23" s="175"/>
      <c r="B23" s="255" t="s">
        <v>259</v>
      </c>
      <c r="C23" s="256" t="s">
        <v>260</v>
      </c>
      <c r="D23" s="180"/>
      <c r="E23" s="177"/>
      <c r="F23" s="189"/>
      <c r="G23" s="178"/>
    </row>
    <row r="24" spans="1:7" ht="22.5">
      <c r="A24" s="175" t="str">
        <f>"CCU "&amp;B24</f>
        <v>CCU 04.01.531</v>
      </c>
      <c r="B24" s="176" t="s">
        <v>261</v>
      </c>
      <c r="C24" s="193" t="s">
        <v>256</v>
      </c>
      <c r="D24" s="180" t="s">
        <v>60</v>
      </c>
      <c r="E24" s="177">
        <v>1</v>
      </c>
      <c r="F24" s="189">
        <f>VLOOKUP(A24,'CCU''s'!$A:$G,7,0)</f>
        <v>1506.98</v>
      </c>
      <c r="G24" s="178">
        <f>ROUND(E24*F24,2)</f>
        <v>1506.98</v>
      </c>
    </row>
    <row r="25" spans="1:7" ht="12.75">
      <c r="A25" s="170"/>
      <c r="B25" s="171" t="s">
        <v>165</v>
      </c>
      <c r="C25" s="172" t="s">
        <v>166</v>
      </c>
      <c r="D25" s="173"/>
      <c r="E25" s="174"/>
      <c r="F25" s="187"/>
      <c r="G25" s="174">
        <f>SUM(G26:G29)</f>
        <v>18991.47</v>
      </c>
    </row>
    <row r="26" spans="1:7" ht="12.75">
      <c r="A26" s="175">
        <v>99814</v>
      </c>
      <c r="B26" s="176" t="s">
        <v>167</v>
      </c>
      <c r="C26" s="193" t="str">
        <f>VLOOKUP(A26,Insumos!$A:$D,2,0)</f>
        <v>Limpeza de superfície com jato de alta pressão</v>
      </c>
      <c r="D26" s="180" t="str">
        <f>VLOOKUP(A26,Insumos!$A:$D,3,0)</f>
        <v>m²</v>
      </c>
      <c r="E26" s="177">
        <v>203</v>
      </c>
      <c r="F26" s="189">
        <f>VLOOKUP(A26,Insumos!$A:$D,4,0)</f>
        <v>1.41</v>
      </c>
      <c r="G26" s="178">
        <f>ROUND(E26*F26,2)</f>
        <v>286.23</v>
      </c>
    </row>
    <row r="27" spans="1:7" ht="33.75">
      <c r="A27" s="175" t="str">
        <f>"CCU "&amp;B27</f>
        <v>CCU 04.01.602</v>
      </c>
      <c r="B27" s="176" t="s">
        <v>168</v>
      </c>
      <c r="C27" s="193" t="s">
        <v>206</v>
      </c>
      <c r="D27" s="180" t="s">
        <v>60</v>
      </c>
      <c r="E27" s="177">
        <v>1</v>
      </c>
      <c r="F27" s="189">
        <f>VLOOKUP(A27,'CCU''s'!$A:$G,7,0)</f>
        <v>1961.8</v>
      </c>
      <c r="G27" s="178">
        <f>ROUND(E27*F27,2)</f>
        <v>1961.8</v>
      </c>
    </row>
    <row r="28" spans="1:7" ht="12.75">
      <c r="A28" s="175">
        <v>40780</v>
      </c>
      <c r="B28" s="176" t="s">
        <v>204</v>
      </c>
      <c r="C28" s="193" t="str">
        <f>VLOOKUP(A28,Insumos!$A:$D,2,0)</f>
        <v>Regularização de superfície de concreto aparente</v>
      </c>
      <c r="D28" s="180" t="str">
        <f>VLOOKUP(A28,Insumos!$A:$D,3,0)</f>
        <v>m²</v>
      </c>
      <c r="E28" s="177">
        <v>203</v>
      </c>
      <c r="F28" s="189">
        <f>VLOOKUP(A28,Insumos!$A:$D,4,0)</f>
        <v>9.88</v>
      </c>
      <c r="G28" s="178">
        <f>ROUND(E28*F28,2)</f>
        <v>2005.64</v>
      </c>
    </row>
    <row r="29" spans="1:7" ht="45">
      <c r="A29" s="175" t="str">
        <f>"CCU "&amp;B29</f>
        <v>CCU 04.01.604</v>
      </c>
      <c r="B29" s="176" t="s">
        <v>205</v>
      </c>
      <c r="C29" s="193" t="s">
        <v>180</v>
      </c>
      <c r="D29" s="180" t="s">
        <v>61</v>
      </c>
      <c r="E29" s="177">
        <v>203</v>
      </c>
      <c r="F29" s="189">
        <f>VLOOKUP(A29,'CCU''s'!$A:$G,7,0)</f>
        <v>72.60000000000001</v>
      </c>
      <c r="G29" s="178">
        <f>ROUND(E29*F29,2)</f>
        <v>14737.8</v>
      </c>
    </row>
    <row r="30" spans="1:7" s="43" customFormat="1" ht="12.75">
      <c r="A30" s="155"/>
      <c r="B30" s="156" t="s">
        <v>80</v>
      </c>
      <c r="C30" s="157" t="s">
        <v>82</v>
      </c>
      <c r="D30" s="158"/>
      <c r="E30" s="159"/>
      <c r="F30" s="51"/>
      <c r="G30" s="159">
        <f>SUM(G31:G43)/2</f>
        <v>31846.76</v>
      </c>
    </row>
    <row r="31" spans="1:7" s="43" customFormat="1" ht="12.75">
      <c r="A31" s="165"/>
      <c r="B31" s="166" t="s">
        <v>3</v>
      </c>
      <c r="C31" s="167" t="s">
        <v>4</v>
      </c>
      <c r="D31" s="168"/>
      <c r="E31" s="169"/>
      <c r="F31" s="186"/>
      <c r="G31" s="169"/>
    </row>
    <row r="32" spans="1:7" ht="12.75">
      <c r="A32" s="170"/>
      <c r="B32" s="171" t="s">
        <v>192</v>
      </c>
      <c r="C32" s="172" t="s">
        <v>193</v>
      </c>
      <c r="D32" s="173"/>
      <c r="E32" s="174"/>
      <c r="F32" s="187"/>
      <c r="G32" s="174">
        <f>SUM(G33:G41)</f>
        <v>31798.52</v>
      </c>
    </row>
    <row r="33" spans="1:7" s="43" customFormat="1" ht="22.5">
      <c r="A33" s="175" t="str">
        <f>"CCU "&amp;B33</f>
        <v>CCU 05.03.101</v>
      </c>
      <c r="B33" s="176" t="s">
        <v>194</v>
      </c>
      <c r="C33" s="193" t="s">
        <v>195</v>
      </c>
      <c r="D33" s="180" t="s">
        <v>60</v>
      </c>
      <c r="E33" s="177">
        <v>1</v>
      </c>
      <c r="F33" s="189">
        <f>VLOOKUP(A33,'CCU''s'!$A:$G,7,0)</f>
        <v>392.42</v>
      </c>
      <c r="G33" s="178">
        <f aca="true" t="shared" si="0" ref="G33:G41">ROUND(E33*F33,2)</f>
        <v>392.42</v>
      </c>
    </row>
    <row r="34" spans="1:7" s="43" customFormat="1" ht="22.5">
      <c r="A34" s="175" t="str">
        <f>"CCU "&amp;B34</f>
        <v>CCU 05.03.102</v>
      </c>
      <c r="B34" s="176" t="s">
        <v>197</v>
      </c>
      <c r="C34" s="193" t="s">
        <v>207</v>
      </c>
      <c r="D34" s="180" t="s">
        <v>60</v>
      </c>
      <c r="E34" s="177">
        <v>1</v>
      </c>
      <c r="F34" s="189">
        <f>VLOOKUP(A34,'CCU''s'!$A:$G,7,0)</f>
        <v>271.06</v>
      </c>
      <c r="G34" s="178">
        <f t="shared" si="0"/>
        <v>271.06</v>
      </c>
    </row>
    <row r="35" spans="1:7" s="43" customFormat="1" ht="22.5">
      <c r="A35" s="175" t="str">
        <f>"CCU "&amp;B35</f>
        <v>CCU 05.03.103</v>
      </c>
      <c r="B35" s="176" t="s">
        <v>210</v>
      </c>
      <c r="C35" s="193" t="s">
        <v>240</v>
      </c>
      <c r="D35" s="180" t="s">
        <v>64</v>
      </c>
      <c r="E35" s="177">
        <v>1</v>
      </c>
      <c r="F35" s="189">
        <f>VLOOKUP(A35,'CCU''s'!$A:$G,7,0)</f>
        <v>2790.29</v>
      </c>
      <c r="G35" s="178">
        <f t="shared" si="0"/>
        <v>2790.29</v>
      </c>
    </row>
    <row r="36" spans="1:7" s="43" customFormat="1" ht="45">
      <c r="A36" s="175">
        <v>94501</v>
      </c>
      <c r="B36" s="176" t="s">
        <v>241</v>
      </c>
      <c r="C36" s="193" t="str">
        <f>VLOOKUP(A36,Insumos!$A:$D,2,0)</f>
        <v>Registro de gaveta bruto, latão, roscável, 4", instalado em reservação de água de edificação que possua reservatório de fibra/fibrocimento fornecimento e instalação</v>
      </c>
      <c r="D36" s="180" t="str">
        <f>VLOOKUP(A36,Insumos!$A:$D,3,0)</f>
        <v>un</v>
      </c>
      <c r="E36" s="177">
        <v>1</v>
      </c>
      <c r="F36" s="189">
        <f>VLOOKUP(A36,Insumos!$A:$D,4,0)</f>
        <v>472.36</v>
      </c>
      <c r="G36" s="178">
        <f t="shared" si="0"/>
        <v>472.36</v>
      </c>
    </row>
    <row r="37" spans="1:7" s="43" customFormat="1" ht="33.75">
      <c r="A37" s="175" t="str">
        <f>"CCU"&amp;B37</f>
        <v>CCU05.03.105</v>
      </c>
      <c r="B37" s="176" t="s">
        <v>242</v>
      </c>
      <c r="C37" s="193" t="s">
        <v>212</v>
      </c>
      <c r="D37" s="180" t="s">
        <v>64</v>
      </c>
      <c r="E37" s="177">
        <v>3</v>
      </c>
      <c r="F37" s="189">
        <f>VLOOKUP(A37,'CCU''s'!$A:$G,7,0)</f>
        <v>2835.7799999999997</v>
      </c>
      <c r="G37" s="178">
        <f t="shared" si="0"/>
        <v>8507.34</v>
      </c>
    </row>
    <row r="38" spans="1:7" s="43" customFormat="1" ht="33.75">
      <c r="A38" s="175" t="str">
        <f>"CCU"&amp;B38</f>
        <v>CCU05.03.106</v>
      </c>
      <c r="B38" s="176" t="s">
        <v>243</v>
      </c>
      <c r="C38" s="193" t="s">
        <v>213</v>
      </c>
      <c r="D38" s="180" t="s">
        <v>64</v>
      </c>
      <c r="E38" s="177">
        <v>1</v>
      </c>
      <c r="F38" s="189">
        <f>VLOOKUP(A38,'CCU''s'!$A:$G,7,0)</f>
        <v>1339.63</v>
      </c>
      <c r="G38" s="178">
        <f t="shared" si="0"/>
        <v>1339.63</v>
      </c>
    </row>
    <row r="39" spans="1:7" s="43" customFormat="1" ht="33.75">
      <c r="A39" s="175" t="str">
        <f>"CCU"&amp;B39</f>
        <v>CCU05.03.107</v>
      </c>
      <c r="B39" s="176" t="s">
        <v>244</v>
      </c>
      <c r="C39" s="193" t="s">
        <v>253</v>
      </c>
      <c r="D39" s="180" t="s">
        <v>64</v>
      </c>
      <c r="E39" s="177">
        <v>2</v>
      </c>
      <c r="F39" s="189">
        <f>VLOOKUP(A39,'CCU''s'!$A:$G,7,0)</f>
        <v>3586.98</v>
      </c>
      <c r="G39" s="178">
        <f t="shared" si="0"/>
        <v>7173.96</v>
      </c>
    </row>
    <row r="40" spans="1:7" s="43" customFormat="1" ht="22.5">
      <c r="A40" s="175" t="str">
        <f>"CCU"&amp;B40</f>
        <v>CCU05.03.108</v>
      </c>
      <c r="B40" s="176" t="s">
        <v>245</v>
      </c>
      <c r="C40" s="193" t="s">
        <v>214</v>
      </c>
      <c r="D40" s="180" t="s">
        <v>64</v>
      </c>
      <c r="E40" s="177">
        <v>3</v>
      </c>
      <c r="F40" s="189">
        <f>VLOOKUP(A40,'CCU''s'!$A:$G,7,0)</f>
        <v>3078.5</v>
      </c>
      <c r="G40" s="178">
        <f t="shared" si="0"/>
        <v>9235.5</v>
      </c>
    </row>
    <row r="41" spans="1:7" s="43" customFormat="1" ht="22.5">
      <c r="A41" s="175" t="str">
        <f>"CCU"&amp;B41</f>
        <v>CCU05.03.109</v>
      </c>
      <c r="B41" s="176" t="s">
        <v>246</v>
      </c>
      <c r="C41" s="193" t="s">
        <v>215</v>
      </c>
      <c r="D41" s="180" t="s">
        <v>64</v>
      </c>
      <c r="E41" s="177">
        <v>1</v>
      </c>
      <c r="F41" s="189">
        <f>VLOOKUP(A41,'CCU''s'!$A:$G,7,0)</f>
        <v>1615.96</v>
      </c>
      <c r="G41" s="178">
        <f t="shared" si="0"/>
        <v>1615.96</v>
      </c>
    </row>
    <row r="42" spans="1:7" s="43" customFormat="1" ht="12.75">
      <c r="A42" s="165"/>
      <c r="B42" s="166" t="s">
        <v>177</v>
      </c>
      <c r="C42" s="167" t="s">
        <v>171</v>
      </c>
      <c r="D42" s="168"/>
      <c r="E42" s="169"/>
      <c r="F42" s="186"/>
      <c r="G42" s="169">
        <f>SUM(G43:G43)</f>
        <v>48.24</v>
      </c>
    </row>
    <row r="43" spans="1:7" s="43" customFormat="1" ht="12.75">
      <c r="A43" s="175" t="str">
        <f>"CCU "&amp;B43</f>
        <v>CCU 05.06.001</v>
      </c>
      <c r="B43" s="176" t="s">
        <v>198</v>
      </c>
      <c r="C43" s="193" t="s">
        <v>199</v>
      </c>
      <c r="D43" s="180" t="s">
        <v>62</v>
      </c>
      <c r="E43" s="177">
        <v>4</v>
      </c>
      <c r="F43" s="189">
        <f>VLOOKUP(A43,'CCU''s'!$A:$G,7,0)</f>
        <v>12.06</v>
      </c>
      <c r="G43" s="178">
        <f>ROUND(E43*F43,2)</f>
        <v>48.24</v>
      </c>
    </row>
    <row r="44" spans="1:7" s="43" customFormat="1" ht="12.75">
      <c r="A44" s="155"/>
      <c r="B44" s="156" t="s">
        <v>83</v>
      </c>
      <c r="C44" s="184" t="s">
        <v>65</v>
      </c>
      <c r="D44" s="158"/>
      <c r="E44" s="159"/>
      <c r="F44" s="51"/>
      <c r="G44" s="159">
        <f>SUM(G45:G46)/2</f>
        <v>280.7</v>
      </c>
    </row>
    <row r="45" spans="1:7" ht="12.75">
      <c r="A45" s="160"/>
      <c r="B45" s="181" t="s">
        <v>73</v>
      </c>
      <c r="C45" s="162" t="s">
        <v>0</v>
      </c>
      <c r="D45" s="182"/>
      <c r="E45" s="183"/>
      <c r="F45" s="190"/>
      <c r="G45" s="169">
        <f>SUM(G46:G46)</f>
        <v>280.7</v>
      </c>
    </row>
    <row r="46" spans="1:7" ht="12.75">
      <c r="A46" s="175" t="str">
        <f>"CCU"&amp;B46</f>
        <v>CCU09.02.001</v>
      </c>
      <c r="B46" s="176" t="s">
        <v>74</v>
      </c>
      <c r="C46" s="193" t="s">
        <v>21</v>
      </c>
      <c r="D46" s="180" t="s">
        <v>61</v>
      </c>
      <c r="E46" s="177">
        <v>70</v>
      </c>
      <c r="F46" s="189">
        <f>VLOOKUP(A46,'CCU''s'!$A:$G,7,0)</f>
        <v>4.01</v>
      </c>
      <c r="G46" s="178">
        <f>ROUND(E46*F46,2)</f>
        <v>280.7</v>
      </c>
    </row>
    <row r="47" spans="1:7" s="43" customFormat="1" ht="12.75">
      <c r="A47" s="155"/>
      <c r="B47" s="156" t="s">
        <v>84</v>
      </c>
      <c r="C47" s="184" t="s">
        <v>85</v>
      </c>
      <c r="D47" s="158"/>
      <c r="E47" s="159"/>
      <c r="F47" s="51"/>
      <c r="G47" s="159">
        <f>SUM(G48:G49)/2</f>
        <v>3360</v>
      </c>
    </row>
    <row r="48" spans="1:7" ht="12.75">
      <c r="A48" s="160"/>
      <c r="B48" s="181" t="s">
        <v>75</v>
      </c>
      <c r="C48" s="162" t="s">
        <v>1</v>
      </c>
      <c r="D48" s="182"/>
      <c r="E48" s="183"/>
      <c r="F48" s="190"/>
      <c r="G48" s="169">
        <f>SUM(G49:G49)</f>
        <v>3360</v>
      </c>
    </row>
    <row r="49" spans="1:7" ht="22.5">
      <c r="A49" s="175">
        <v>90778</v>
      </c>
      <c r="B49" s="176" t="s">
        <v>247</v>
      </c>
      <c r="C49" s="193" t="str">
        <f>VLOOKUP(A49,Insumos!$A:$D,2,0)</f>
        <v>Engenheiro civil de obra pleno com encargos complementares</v>
      </c>
      <c r="D49" s="180" t="str">
        <f>VLOOKUP(A49,Insumos!$A:$D,3,0)</f>
        <v>h</v>
      </c>
      <c r="E49" s="177">
        <v>35</v>
      </c>
      <c r="F49" s="189">
        <f>VLOOKUP(A49,Insumos!$A:$D,4,0)</f>
        <v>96</v>
      </c>
      <c r="G49" s="178">
        <f>ROUND(E49*F49,2)</f>
        <v>3360</v>
      </c>
    </row>
    <row r="50" spans="1:7" ht="12.75">
      <c r="A50" s="258"/>
      <c r="B50" s="326" t="s">
        <v>66</v>
      </c>
      <c r="C50" s="326"/>
      <c r="D50" s="326"/>
      <c r="E50" s="326"/>
      <c r="F50" s="326"/>
      <c r="G50" s="259">
        <f>SUM(G10:G49)/3</f>
        <v>58836.10999999999</v>
      </c>
    </row>
    <row r="51" spans="1:7" ht="12.75">
      <c r="A51" s="260">
        <f>1-A52</f>
        <v>1</v>
      </c>
      <c r="B51" s="327" t="s">
        <v>67</v>
      </c>
      <c r="C51" s="327"/>
      <c r="D51" s="327"/>
      <c r="E51" s="327"/>
      <c r="F51" s="327"/>
      <c r="G51" s="261">
        <f>G50-G52</f>
        <v>58836.10999999999</v>
      </c>
    </row>
    <row r="52" spans="1:7" ht="12.75">
      <c r="A52" s="260"/>
      <c r="B52" s="327" t="str">
        <f>CONCATENATE("MÃO-DE-OBRA C/ ENCARGOS (",'Composição de Encargos Sociais'!D45*100,"%)")</f>
        <v>MÃO-DE-OBRA C/ ENCARGOS (114,09%)</v>
      </c>
      <c r="C52" s="327"/>
      <c r="D52" s="327"/>
      <c r="E52" s="327"/>
      <c r="F52" s="327"/>
      <c r="G52" s="261">
        <f>ROUND(G50*A52,2)</f>
        <v>0</v>
      </c>
    </row>
    <row r="53" spans="1:7" ht="12.75">
      <c r="A53" s="262">
        <f>'Composição de BDI'!D29</f>
        <v>0.2085</v>
      </c>
      <c r="B53" s="328" t="s">
        <v>68</v>
      </c>
      <c r="C53" s="328"/>
      <c r="D53" s="328"/>
      <c r="E53" s="328"/>
      <c r="F53" s="328"/>
      <c r="G53" s="263">
        <f>ROUND(G50*A53,2)</f>
        <v>12267.33</v>
      </c>
    </row>
    <row r="54" spans="1:7" ht="12.75">
      <c r="A54" s="264"/>
      <c r="B54" s="325" t="s">
        <v>69</v>
      </c>
      <c r="C54" s="325"/>
      <c r="D54" s="325"/>
      <c r="E54" s="325"/>
      <c r="F54" s="325"/>
      <c r="G54" s="265">
        <f>G50+G53</f>
        <v>71103.43999999999</v>
      </c>
    </row>
  </sheetData>
  <sheetProtection/>
  <mergeCells count="14">
    <mergeCell ref="A1:E1"/>
    <mergeCell ref="D5:E5"/>
    <mergeCell ref="F5:G5"/>
    <mergeCell ref="A5:B5"/>
    <mergeCell ref="B54:F54"/>
    <mergeCell ref="B50:F50"/>
    <mergeCell ref="B51:F51"/>
    <mergeCell ref="B52:F52"/>
    <mergeCell ref="B53:F53"/>
    <mergeCell ref="A7:B7"/>
    <mergeCell ref="D7:E7"/>
    <mergeCell ref="F7:G7"/>
    <mergeCell ref="F2:G2"/>
    <mergeCell ref="F3:G3"/>
  </mergeCells>
  <conditionalFormatting sqref="A52">
    <cfRule type="cellIs" priority="1" dxfId="4" operator="equal" stopIfTrue="1">
      <formula>0</formula>
    </cfRule>
  </conditionalFormatting>
  <hyperlinks>
    <hyperlink ref="F425" r:id="rId1" display="http://br01.webdms.sika.com/fileshow.do?documentID=49"/>
    <hyperlink ref="F412" r:id="rId2" display="http://br01.webdms.sika.com/fileshow.do?documentID=49"/>
    <hyperlink ref="F623" r:id="rId3" display="http://br01.webdms.sika.com/fileshow.do?documentID=49"/>
    <hyperlink ref="F610" r:id="rId4" display="http://br01.webdms.sika.com/fileshow.do?documentID=49"/>
    <hyperlink ref="F437" r:id="rId5" display="http://br01.webdms.sika.com/fileshow.do?documentID=49"/>
    <hyperlink ref="F424" r:id="rId6" display="http://br01.webdms.sika.com/fileshow.do?documentID=49"/>
    <hyperlink ref="F635" r:id="rId7" display="http://br01.webdms.sika.com/fileshow.do?documentID=49"/>
    <hyperlink ref="F622" r:id="rId8" display="http://br01.webdms.sika.com/fileshow.do?documentID=49"/>
  </hyperlink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9"/>
  <headerFooter alignWithMargins="0">
    <oddFooter>&amp;L&amp;8&amp;Z&amp;F&amp;R&amp;8Página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117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2.7109375" style="234" customWidth="1"/>
    <col min="2" max="2" width="8.7109375" style="230" customWidth="1"/>
    <col min="3" max="3" width="37.7109375" style="231" customWidth="1"/>
    <col min="4" max="4" width="6.7109375" style="232" customWidth="1"/>
    <col min="5" max="5" width="9.7109375" style="233" customWidth="1"/>
    <col min="6" max="6" width="9.7109375" style="191" customWidth="1"/>
    <col min="7" max="7" width="11.7109375" style="191" customWidth="1"/>
    <col min="8" max="16384" width="9.140625" style="150" customWidth="1"/>
  </cols>
  <sheetData>
    <row r="1" spans="1:7" ht="18.75">
      <c r="A1" s="334" t="s">
        <v>154</v>
      </c>
      <c r="B1" s="335"/>
      <c r="C1" s="335"/>
      <c r="D1" s="335"/>
      <c r="E1" s="336"/>
      <c r="F1" s="289" t="s">
        <v>312</v>
      </c>
      <c r="G1" s="257"/>
    </row>
    <row r="2" spans="1:7" s="209" customFormat="1" ht="11.25">
      <c r="A2" s="253" t="str">
        <f>'Orçamento Sintético'!A2</f>
        <v>Objeto: Recuperação de reservatório de água potável</v>
      </c>
      <c r="B2" s="206"/>
      <c r="C2" s="207"/>
      <c r="D2" s="206"/>
      <c r="E2" s="208"/>
      <c r="F2" s="332">
        <f>'Orçamento Sintético'!F2</f>
        <v>0</v>
      </c>
      <c r="G2" s="333"/>
    </row>
    <row r="3" spans="1:7" s="209" customFormat="1" ht="11.25">
      <c r="A3" s="254" t="str">
        <f>'Orçamento Sintético'!A3</f>
        <v>Local: Eixo Monumental, Praça do Buriti, lote 02, Brasília-DF</v>
      </c>
      <c r="B3" s="210"/>
      <c r="C3" s="211"/>
      <c r="D3" s="212"/>
      <c r="E3" s="213"/>
      <c r="F3" s="317">
        <f>'Orçamento Sintético'!F3</f>
        <v>0</v>
      </c>
      <c r="G3" s="318"/>
    </row>
    <row r="4" spans="1:7" s="209" customFormat="1" ht="11.25" customHeight="1">
      <c r="A4" s="286" t="s">
        <v>305</v>
      </c>
      <c r="B4" s="287"/>
      <c r="C4" s="288" t="s">
        <v>306</v>
      </c>
      <c r="D4" s="286" t="s">
        <v>307</v>
      </c>
      <c r="E4" s="287"/>
      <c r="F4" s="289" t="s">
        <v>308</v>
      </c>
      <c r="G4" s="290"/>
    </row>
    <row r="5" spans="1:7" s="209" customFormat="1" ht="11.25" customHeight="1">
      <c r="A5" s="317">
        <f>'Orçamento Sintético'!A5</f>
        <v>0</v>
      </c>
      <c r="B5" s="318"/>
      <c r="C5" s="291">
        <f>'Orçamento Sintético'!C5</f>
        <v>0</v>
      </c>
      <c r="D5" s="317">
        <f>'Orçamento Sintético'!D5</f>
        <v>0</v>
      </c>
      <c r="E5" s="318"/>
      <c r="F5" s="317">
        <f>'Orçamento Sintético'!F5</f>
        <v>0</v>
      </c>
      <c r="G5" s="318"/>
    </row>
    <row r="6" spans="1:7" s="209" customFormat="1" ht="11.25" customHeight="1">
      <c r="A6" s="286" t="s">
        <v>6</v>
      </c>
      <c r="B6" s="287"/>
      <c r="C6" s="288" t="s">
        <v>309</v>
      </c>
      <c r="D6" s="286" t="s">
        <v>310</v>
      </c>
      <c r="E6" s="287"/>
      <c r="F6" s="289" t="s">
        <v>311</v>
      </c>
      <c r="G6" s="290"/>
    </row>
    <row r="7" spans="1:7" s="209" customFormat="1" ht="11.25" customHeight="1">
      <c r="A7" s="315">
        <f>'Orçamento Sintético'!A7</f>
        <v>0</v>
      </c>
      <c r="B7" s="316"/>
      <c r="C7" s="291">
        <f>'Orçamento Sintético'!C7</f>
        <v>0</v>
      </c>
      <c r="D7" s="317">
        <f>'Orçamento Sintético'!D7</f>
        <v>0</v>
      </c>
      <c r="E7" s="318"/>
      <c r="F7" s="317">
        <f>'Orçamento Sintético'!F7</f>
        <v>0</v>
      </c>
      <c r="G7" s="318"/>
    </row>
    <row r="8" spans="1:7" s="214" customFormat="1" ht="6.75">
      <c r="A8" s="90"/>
      <c r="B8" s="90"/>
      <c r="C8" s="90"/>
      <c r="D8" s="90"/>
      <c r="E8" s="292"/>
      <c r="F8" s="293"/>
      <c r="G8" s="292"/>
    </row>
    <row r="9" spans="1:7" ht="22.5">
      <c r="A9" s="215" t="s">
        <v>51</v>
      </c>
      <c r="B9" s="216" t="s">
        <v>52</v>
      </c>
      <c r="C9" s="216" t="s">
        <v>53</v>
      </c>
      <c r="D9" s="216" t="s">
        <v>54</v>
      </c>
      <c r="E9" s="217" t="s">
        <v>55</v>
      </c>
      <c r="F9" s="218" t="s">
        <v>56</v>
      </c>
      <c r="G9" s="219" t="s">
        <v>57</v>
      </c>
    </row>
    <row r="10" spans="1:7" ht="12.75">
      <c r="A10" s="53"/>
      <c r="B10" s="53" t="str">
        <f>'Orçamento Sintético'!B10</f>
        <v>01.00.000</v>
      </c>
      <c r="C10" s="54" t="str">
        <f>'Orçamento Sintético'!C10</f>
        <v>SERVIÇOS TÉCNICOS-PROFISSIONAIS</v>
      </c>
      <c r="D10" s="53"/>
      <c r="E10" s="55"/>
      <c r="F10" s="56"/>
      <c r="G10" s="56"/>
    </row>
    <row r="11" spans="1:7" ht="12.75">
      <c r="A11" s="44"/>
      <c r="B11" s="44" t="str">
        <f>'Orçamento Sintético'!B11</f>
        <v>01.08.000</v>
      </c>
      <c r="C11" s="45" t="str">
        <f>'Orçamento Sintético'!C11</f>
        <v>TAXAS E EMOLUMENTOS</v>
      </c>
      <c r="D11" s="44"/>
      <c r="E11" s="46"/>
      <c r="F11" s="47"/>
      <c r="G11" s="47"/>
    </row>
    <row r="12" spans="1:7" ht="22.5">
      <c r="A12" s="29" t="str">
        <f>'Orçamento Sintético'!A12</f>
        <v>CCU 01.08.001</v>
      </c>
      <c r="B12" s="29" t="str">
        <f>'Orçamento Sintético'!B12</f>
        <v>01.08.001</v>
      </c>
      <c r="C12" s="30" t="str">
        <f>VLOOKUP($A12,'Orçamento Sintético'!$A:$G,3,0)</f>
        <v>Registro do contrato junto ao conselho de classe (ART)</v>
      </c>
      <c r="D12" s="220" t="str">
        <f>VLOOKUP($A12,'Orçamento Sintético'!$A:$G,4,0)</f>
        <v>vb</v>
      </c>
      <c r="E12" s="221"/>
      <c r="F12" s="189"/>
      <c r="G12" s="41">
        <f>SUM(G13)</f>
        <v>226.5</v>
      </c>
    </row>
    <row r="13" spans="1:7" ht="22.5">
      <c r="A13" s="31" t="s">
        <v>20</v>
      </c>
      <c r="B13" s="32"/>
      <c r="C13" s="195" t="str">
        <f>VLOOKUP(A13,Insumos!$A:$D,2,0)</f>
        <v>Anotação de Resposanbilidade Técnica (Faixa 3 - Tabela A - CONFEA)</v>
      </c>
      <c r="D13" s="196" t="str">
        <f>VLOOKUP(A13,Insumos!$A:$D,3,0)</f>
        <v>un</v>
      </c>
      <c r="E13" s="221">
        <v>1</v>
      </c>
      <c r="F13" s="188">
        <f>VLOOKUP(A13,Insumos!$A:$D,4,0)</f>
        <v>226.5</v>
      </c>
      <c r="G13" s="33">
        <f>ROUND(E13*F13,2)</f>
        <v>226.5</v>
      </c>
    </row>
    <row r="14" spans="1:7" ht="12.75">
      <c r="A14" s="31"/>
      <c r="B14" s="32"/>
      <c r="C14" s="195"/>
      <c r="D14" s="196"/>
      <c r="E14" s="221"/>
      <c r="F14" s="188"/>
      <c r="G14" s="33"/>
    </row>
    <row r="15" spans="1:7" ht="12.75">
      <c r="A15" s="48"/>
      <c r="B15" s="48" t="str">
        <f>'Orçamento Sintético'!B13</f>
        <v>02.00.000</v>
      </c>
      <c r="C15" s="49" t="str">
        <f>'Orçamento Sintético'!C13</f>
        <v>SERVIÇOS PRELIMINARES</v>
      </c>
      <c r="D15" s="48"/>
      <c r="E15" s="50"/>
      <c r="F15" s="51"/>
      <c r="G15" s="51"/>
    </row>
    <row r="16" spans="1:7" ht="12.75">
      <c r="A16" s="44"/>
      <c r="B16" s="44" t="str">
        <f>'Orçamento Sintético'!B14</f>
        <v>02.02.000</v>
      </c>
      <c r="C16" s="45" t="str">
        <f>'Orçamento Sintético'!C14</f>
        <v>DEMOLIÇÃO</v>
      </c>
      <c r="D16" s="44"/>
      <c r="E16" s="46"/>
      <c r="F16" s="38"/>
      <c r="G16" s="47"/>
    </row>
    <row r="17" spans="1:7" ht="12.75">
      <c r="A17" s="34"/>
      <c r="B17" s="40" t="str">
        <f>'Orçamento Sintético'!B15</f>
        <v>02.02.300</v>
      </c>
      <c r="C17" s="222" t="str">
        <f>'Orçamento Sintético'!C15</f>
        <v>Remoções</v>
      </c>
      <c r="D17" s="223"/>
      <c r="E17" s="221"/>
      <c r="F17" s="189"/>
      <c r="G17" s="33"/>
    </row>
    <row r="18" spans="1:7" ht="12.75">
      <c r="A18" s="29" t="str">
        <f>'Orçamento Sintético'!A16</f>
        <v>CCU 02.02.301</v>
      </c>
      <c r="B18" s="29" t="str">
        <f>VLOOKUP($A18,'Orçamento Sintético'!$A:$G,2,0)</f>
        <v>02.02.301</v>
      </c>
      <c r="C18" s="30" t="str">
        <f>VLOOKUP($A18,'Orçamento Sintético'!$A:$G,3,0)</f>
        <v>Remoção de sistema impermeabilizante</v>
      </c>
      <c r="D18" s="220" t="str">
        <f>VLOOKUP($A18,'Orçamento Sintético'!$A:$G,4,0)</f>
        <v>m²</v>
      </c>
      <c r="E18" s="221"/>
      <c r="F18" s="189"/>
      <c r="G18" s="41">
        <f>SUM(G19:G20)</f>
        <v>9.370000000000001</v>
      </c>
    </row>
    <row r="19" spans="1:7" ht="12.75">
      <c r="A19" s="31">
        <v>3768</v>
      </c>
      <c r="B19" s="32"/>
      <c r="C19" s="195" t="str">
        <f>VLOOKUP(A19,Insumos!$A:$D,2,0)</f>
        <v>Lixa em folha para ferro, numero 150</v>
      </c>
      <c r="D19" s="196" t="str">
        <f>VLOOKUP(A19,Insumos!$A:$D,3,0)</f>
        <v>un</v>
      </c>
      <c r="E19" s="221">
        <v>0.5</v>
      </c>
      <c r="F19" s="188">
        <f>VLOOKUP(A19,Insumos!$A:$D,4,0)</f>
        <v>2.93</v>
      </c>
      <c r="G19" s="33">
        <f>ROUND(E19*F19,2)</f>
        <v>1.47</v>
      </c>
    </row>
    <row r="20" spans="1:7" ht="12.75">
      <c r="A20" s="31">
        <v>88316</v>
      </c>
      <c r="B20" s="32"/>
      <c r="C20" s="195" t="str">
        <f>VLOOKUP(A20,Insumos!$A:$D,2,0)</f>
        <v>Servente com encargos complementares</v>
      </c>
      <c r="D20" s="196" t="str">
        <f>VLOOKUP(A20,Insumos!$A:$D,3,0)</f>
        <v>h</v>
      </c>
      <c r="E20" s="221">
        <v>0.5</v>
      </c>
      <c r="F20" s="188">
        <f>VLOOKUP(A20,Insumos!$A:$D,4,0)</f>
        <v>15.79</v>
      </c>
      <c r="G20" s="33">
        <f>ROUND(E20*F20,2)</f>
        <v>7.9</v>
      </c>
    </row>
    <row r="21" spans="1:7" ht="12.75">
      <c r="A21" s="224"/>
      <c r="B21" s="40"/>
      <c r="C21" s="195"/>
      <c r="D21" s="196"/>
      <c r="E21" s="221"/>
      <c r="F21" s="188"/>
      <c r="G21" s="33"/>
    </row>
    <row r="22" spans="1:7" ht="33.75">
      <c r="A22" s="29" t="str">
        <f>'Orçamento Sintético'!A17</f>
        <v>CCU 02.02.302</v>
      </c>
      <c r="B22" s="29" t="str">
        <f>VLOOKUP($A22,'Orçamento Sintético'!$A:$G,2,0)</f>
        <v>02.02.302</v>
      </c>
      <c r="C22" s="30" t="str">
        <f>VLOOKUP($A22,'Orçamento Sintético'!$A:$G,3,0)</f>
        <v>Remoção de tubo em ferro galvanizado, inclusive registro e demolição do concreto de chumbamento</v>
      </c>
      <c r="D22" s="220" t="str">
        <f>VLOOKUP($A22,'Orçamento Sintético'!$A:$G,4,0)</f>
        <v>sv</v>
      </c>
      <c r="E22" s="221"/>
      <c r="F22" s="189"/>
      <c r="G22" s="41">
        <f>SUM(G23:G24)</f>
        <v>89.49</v>
      </c>
    </row>
    <row r="23" spans="1:7" ht="22.5">
      <c r="A23" s="31">
        <v>88267</v>
      </c>
      <c r="B23" s="32"/>
      <c r="C23" s="195" t="str">
        <f>VLOOKUP(A23,Insumos!$A:$D,2,0)</f>
        <v>Encanador ou bombeiro hidráulico com encargos complementares</v>
      </c>
      <c r="D23" s="196" t="str">
        <f>VLOOKUP(A23,Insumos!$A:$D,3,0)</f>
        <v>h</v>
      </c>
      <c r="E23" s="221">
        <v>2</v>
      </c>
      <c r="F23" s="188">
        <f>VLOOKUP(A23,Insumos!$A:$D,4,0)</f>
        <v>21.06</v>
      </c>
      <c r="G23" s="33">
        <f>ROUND(E23*F23,2)</f>
        <v>42.12</v>
      </c>
    </row>
    <row r="24" spans="1:7" ht="12.75">
      <c r="A24" s="31">
        <v>88316</v>
      </c>
      <c r="B24" s="32"/>
      <c r="C24" s="195" t="str">
        <f>VLOOKUP(A24,Insumos!$A:$D,2,0)</f>
        <v>Servente com encargos complementares</v>
      </c>
      <c r="D24" s="196" t="str">
        <f>VLOOKUP(A24,Insumos!$A:$D,3,0)</f>
        <v>h</v>
      </c>
      <c r="E24" s="221">
        <v>3</v>
      </c>
      <c r="F24" s="188">
        <f>VLOOKUP(A24,Insumos!$A:$D,4,0)</f>
        <v>15.79</v>
      </c>
      <c r="G24" s="33">
        <f>ROUND(E24*F24,2)</f>
        <v>47.37</v>
      </c>
    </row>
    <row r="25" spans="1:7" ht="12.75">
      <c r="A25" s="224"/>
      <c r="B25" s="40"/>
      <c r="C25" s="195"/>
      <c r="D25" s="196"/>
      <c r="E25" s="221"/>
      <c r="F25" s="188"/>
      <c r="G25" s="33"/>
    </row>
    <row r="26" spans="1:7" ht="33.75">
      <c r="A26" s="29" t="str">
        <f>'Orçamento Sintético'!A18</f>
        <v>CCU 02.02.303</v>
      </c>
      <c r="B26" s="29" t="str">
        <f>VLOOKUP($A26,'Orçamento Sintético'!$A:$G,2,0)</f>
        <v>02.02.303</v>
      </c>
      <c r="C26" s="30" t="str">
        <f>VLOOKUP($A26,'Orçamento Sintético'!$A:$G,3,0)</f>
        <v>Desmontagem com reaproveitamento de paineis em ACM que revestem o reservatório superior</v>
      </c>
      <c r="D26" s="220" t="str">
        <f>VLOOKUP($A26,'Orçamento Sintético'!$A:$G,4,0)</f>
        <v>sv</v>
      </c>
      <c r="E26" s="221"/>
      <c r="F26" s="189"/>
      <c r="G26" s="41">
        <f>SUM(G27:G28)</f>
        <v>436.68000000000006</v>
      </c>
    </row>
    <row r="27" spans="1:7" ht="22.5">
      <c r="A27" s="31">
        <v>88277</v>
      </c>
      <c r="B27" s="32"/>
      <c r="C27" s="195" t="str">
        <f>VLOOKUP(A27,Insumos!$A:$D,2,0)</f>
        <v>Montador (tubo aço / equipamentos) com encargos complementares</v>
      </c>
      <c r="D27" s="196" t="str">
        <f>VLOOKUP(A27,Insumos!$A:$D,3,0)</f>
        <v>h</v>
      </c>
      <c r="E27" s="221">
        <v>9</v>
      </c>
      <c r="F27" s="188">
        <f>VLOOKUP(A27,Insumos!$A:$D,4,0)</f>
        <v>16.94</v>
      </c>
      <c r="G27" s="33">
        <f>ROUND(E27*F27,2)</f>
        <v>152.46</v>
      </c>
    </row>
    <row r="28" spans="1:7" ht="12.75">
      <c r="A28" s="31">
        <v>88316</v>
      </c>
      <c r="B28" s="32"/>
      <c r="C28" s="195" t="str">
        <f>VLOOKUP(A28,Insumos!$A:$D,2,0)</f>
        <v>Servente com encargos complementares</v>
      </c>
      <c r="D28" s="196" t="str">
        <f>VLOOKUP(A28,Insumos!$A:$D,3,0)</f>
        <v>h</v>
      </c>
      <c r="E28" s="221">
        <f>E27*2</f>
        <v>18</v>
      </c>
      <c r="F28" s="188">
        <f>VLOOKUP(A28,Insumos!$A:$D,4,0)</f>
        <v>15.79</v>
      </c>
      <c r="G28" s="33">
        <f>ROUND(E28*F28,2)</f>
        <v>284.22</v>
      </c>
    </row>
    <row r="29" spans="1:7" ht="12.75">
      <c r="A29" s="224"/>
      <c r="B29" s="40"/>
      <c r="C29" s="195"/>
      <c r="D29" s="196"/>
      <c r="E29" s="221"/>
      <c r="F29" s="188"/>
      <c r="G29" s="33"/>
    </row>
    <row r="30" spans="1:7" ht="22.5">
      <c r="A30" s="29" t="str">
        <f>'Orçamento Sintético'!A19</f>
        <v>CCU 02.02.304</v>
      </c>
      <c r="B30" s="29" t="str">
        <f>VLOOKUP($A30,'Orçamento Sintético'!$A:$G,2,0)</f>
        <v>02.02.304</v>
      </c>
      <c r="C30" s="30" t="str">
        <f>VLOOKUP($A30,'Orçamento Sintético'!$A:$G,3,0)</f>
        <v>Transporte de material – bota-fora, D.M.T = 40,0 km</v>
      </c>
      <c r="D30" s="220" t="str">
        <f>VLOOKUP($A30,'Orçamento Sintético'!$A:$G,4,0)</f>
        <v>m³</v>
      </c>
      <c r="E30" s="221"/>
      <c r="F30" s="189"/>
      <c r="G30" s="41">
        <f>SUM(G31:G32)</f>
        <v>65.14</v>
      </c>
    </row>
    <row r="31" spans="1:7" ht="33.75">
      <c r="A31" s="31">
        <v>97915</v>
      </c>
      <c r="B31" s="32"/>
      <c r="C31" s="195" t="str">
        <f>VLOOKUP(A31,Insumos!$A:$D,2,0)</f>
        <v>Transporte com caminhão basculante de 6 m3, em via urbana pavimentada, DMT acima de 30 km (unidade: m3xkm)</v>
      </c>
      <c r="D31" s="196" t="str">
        <f>VLOOKUP(A31,Insumos!$A:$D,3,0)</f>
        <v>m³xKm</v>
      </c>
      <c r="E31" s="221">
        <f>ROUND(1*40,4)</f>
        <v>40</v>
      </c>
      <c r="F31" s="188">
        <f>VLOOKUP(A31,Insumos!$A:$D,4,0)</f>
        <v>1.14</v>
      </c>
      <c r="G31" s="33">
        <f>ROUND(E31*F31,2)</f>
        <v>45.6</v>
      </c>
    </row>
    <row r="32" spans="1:7" ht="22.5">
      <c r="A32" s="31">
        <v>72897</v>
      </c>
      <c r="B32" s="32"/>
      <c r="C32" s="195" t="str">
        <f>VLOOKUP(A32,Insumos!$A:$D,2,0)</f>
        <v>Carga manual de entulho em caminhão basculante 6m³</v>
      </c>
      <c r="D32" s="196" t="str">
        <f>VLOOKUP(A32,Insumos!$A:$D,3,0)</f>
        <v>m³</v>
      </c>
      <c r="E32" s="221">
        <v>1</v>
      </c>
      <c r="F32" s="188">
        <f>VLOOKUP(A32,Insumos!$A:$D,4,0)</f>
        <v>19.54</v>
      </c>
      <c r="G32" s="33">
        <f>ROUND(E32*F32,2)</f>
        <v>19.54</v>
      </c>
    </row>
    <row r="33" spans="1:7" ht="12.75">
      <c r="A33" s="31"/>
      <c r="B33" s="225"/>
      <c r="C33" s="195"/>
      <c r="D33" s="196"/>
      <c r="E33" s="221"/>
      <c r="F33" s="188"/>
      <c r="G33" s="33"/>
    </row>
    <row r="34" spans="1:7" ht="12.75">
      <c r="A34" s="48"/>
      <c r="B34" s="48" t="str">
        <f>'Orçamento Sintético'!B20</f>
        <v>04.00.000</v>
      </c>
      <c r="C34" s="49" t="str">
        <f>'Orçamento Sintético'!C20</f>
        <v>ARQUITETURA E ELEMENTOS DE URBANISMO</v>
      </c>
      <c r="D34" s="48"/>
      <c r="E34" s="50"/>
      <c r="F34" s="51"/>
      <c r="G34" s="51"/>
    </row>
    <row r="35" spans="1:7" ht="12.75">
      <c r="A35" s="35"/>
      <c r="B35" s="35" t="str">
        <f>'Orçamento Sintético'!B20</f>
        <v>04.00.000</v>
      </c>
      <c r="C35" s="143" t="str">
        <f>'Orçamento Sintético'!C20</f>
        <v>ARQUITETURA E ELEMENTOS DE URBANISMO</v>
      </c>
      <c r="D35" s="35"/>
      <c r="E35" s="37"/>
      <c r="F35" s="42"/>
      <c r="G35" s="39"/>
    </row>
    <row r="36" spans="1:7" ht="12.75">
      <c r="A36" s="34"/>
      <c r="B36" s="40" t="str">
        <f>'Orçamento Sintético'!B22</f>
        <v>04.01.500</v>
      </c>
      <c r="C36" s="222" t="str">
        <f>'Orçamento Sintético'!C22</f>
        <v>Revestimentos</v>
      </c>
      <c r="D36" s="223"/>
      <c r="E36" s="221"/>
      <c r="F36" s="189"/>
      <c r="G36" s="33"/>
    </row>
    <row r="37" spans="1:7" ht="22.5">
      <c r="A37" s="29" t="str">
        <f>'Orçamento Sintético'!A24</f>
        <v>CCU 04.01.531</v>
      </c>
      <c r="B37" s="29" t="str">
        <f>VLOOKUP($A37,'Orçamento Sintético'!$A:$G,2,0)</f>
        <v>04.01.531</v>
      </c>
      <c r="C37" s="30" t="str">
        <f>VLOOKUP($A37,'Orçamento Sintético'!$A:$G,3,0)</f>
        <v>Remontagem de paineis em ACM que revestem o reservatório superior</v>
      </c>
      <c r="D37" s="220" t="str">
        <f>VLOOKUP($A37,'Orçamento Sintético'!$A:$G,4,0)</f>
        <v>sv</v>
      </c>
      <c r="E37" s="221"/>
      <c r="F37" s="189"/>
      <c r="G37" s="41">
        <f>SUM(G38:G40)</f>
        <v>1506.98</v>
      </c>
    </row>
    <row r="38" spans="1:7" ht="22.5">
      <c r="A38" s="31">
        <v>88277</v>
      </c>
      <c r="B38" s="32"/>
      <c r="C38" s="195" t="str">
        <f>VLOOKUP(A38,Insumos!$A:$D,2,0)</f>
        <v>Montador (tubo aço / equipamentos) com encargos complementares</v>
      </c>
      <c r="D38" s="196" t="str">
        <f>VLOOKUP(A38,Insumos!$A:$D,3,0)</f>
        <v>h</v>
      </c>
      <c r="E38" s="221">
        <v>9</v>
      </c>
      <c r="F38" s="188">
        <f>VLOOKUP(A38,Insumos!$A:$D,4,0)</f>
        <v>16.94</v>
      </c>
      <c r="G38" s="33">
        <f>ROUND(E38*F38,2)</f>
        <v>152.46</v>
      </c>
    </row>
    <row r="39" spans="1:7" ht="12.75">
      <c r="A39" s="31">
        <v>88316</v>
      </c>
      <c r="B39" s="32"/>
      <c r="C39" s="195" t="str">
        <f>VLOOKUP(A39,Insumos!$A:$D,2,0)</f>
        <v>Servente com encargos complementares</v>
      </c>
      <c r="D39" s="196" t="str">
        <f>VLOOKUP(A39,Insumos!$A:$D,3,0)</f>
        <v>h</v>
      </c>
      <c r="E39" s="221">
        <f>E38*2</f>
        <v>18</v>
      </c>
      <c r="F39" s="188">
        <f>VLOOKUP(A39,Insumos!$A:$D,4,0)</f>
        <v>15.79</v>
      </c>
      <c r="G39" s="33">
        <f>ROUND(E39*F39,2)</f>
        <v>284.22</v>
      </c>
    </row>
    <row r="40" spans="1:7" ht="12.75">
      <c r="A40" s="31">
        <v>142</v>
      </c>
      <c r="B40" s="32"/>
      <c r="C40" s="195" t="str">
        <f>VLOOKUP(A40,Insumos!$A:$D,2,0)</f>
        <v>Selante elastomérico de polímero híbrido</v>
      </c>
      <c r="D40" s="196" t="str">
        <f>VLOOKUP(A40,Insumos!$A:$D,3,0)</f>
        <v>310ml</v>
      </c>
      <c r="E40" s="221">
        <v>35</v>
      </c>
      <c r="F40" s="188">
        <f>VLOOKUP(A40,Insumos!$A:$D,4,0)</f>
        <v>30.58</v>
      </c>
      <c r="G40" s="33">
        <f>ROUND(E40*F40,2)</f>
        <v>1070.3</v>
      </c>
    </row>
    <row r="41" spans="1:7" ht="12.75">
      <c r="A41" s="31"/>
      <c r="B41" s="225"/>
      <c r="C41" s="195"/>
      <c r="D41" s="196"/>
      <c r="E41" s="221"/>
      <c r="F41" s="188"/>
      <c r="G41" s="33"/>
    </row>
    <row r="42" spans="1:7" ht="12.75">
      <c r="A42" s="35"/>
      <c r="B42" s="35" t="str">
        <f>'Orçamento Sintético'!B25</f>
        <v>04.01.600</v>
      </c>
      <c r="C42" s="143" t="str">
        <f>'Orçamento Sintético'!C25</f>
        <v>Impermeabilizações</v>
      </c>
      <c r="D42" s="35"/>
      <c r="E42" s="37"/>
      <c r="F42" s="42"/>
      <c r="G42" s="39"/>
    </row>
    <row r="43" spans="1:7" ht="45">
      <c r="A43" s="29" t="str">
        <f>'Orçamento Sintético'!A27</f>
        <v>CCU 04.01.602</v>
      </c>
      <c r="B43" s="29" t="str">
        <f>VLOOKUP($A43,'Orçamento Sintético'!$A:$G,2,0)</f>
        <v>04.01.602</v>
      </c>
      <c r="C43" s="30" t="str">
        <f>VLOOKUP($A43,'Orçamento Sintético'!$A:$G,3,0)</f>
        <v>Tratamento de microfissuras com selante de poliuretano monocomponente, hidroexpansivo, tixotrópico, cartucho com 300ml, ref. SikaSwell S-2</v>
      </c>
      <c r="D43" s="220" t="str">
        <f>VLOOKUP($A43,'Orçamento Sintético'!$A:$G,4,0)</f>
        <v>sv</v>
      </c>
      <c r="E43" s="221"/>
      <c r="F43" s="189"/>
      <c r="G43" s="41">
        <f>SUM(G44:G45)</f>
        <v>1961.8</v>
      </c>
    </row>
    <row r="44" spans="1:7" ht="12.75">
      <c r="A44" s="31">
        <v>88270</v>
      </c>
      <c r="B44" s="32"/>
      <c r="C44" s="195" t="str">
        <f>VLOOKUP(A44,Insumos!$A:$D,2,0)</f>
        <v>Impermeabilizador com encargos complementares</v>
      </c>
      <c r="D44" s="196" t="str">
        <f>VLOOKUP(A44,Insumos!$A:$D,3,0)</f>
        <v>h</v>
      </c>
      <c r="E44" s="221">
        <v>8</v>
      </c>
      <c r="F44" s="188">
        <f>VLOOKUP(A44,Insumos!$A:$D,4,0)</f>
        <v>21.47</v>
      </c>
      <c r="G44" s="33">
        <f>ROUND(E44*F44,2)</f>
        <v>171.76</v>
      </c>
    </row>
    <row r="45" spans="1:7" ht="33.75">
      <c r="A45" s="31" t="s">
        <v>202</v>
      </c>
      <c r="B45" s="32"/>
      <c r="C45" s="195" t="str">
        <f>VLOOKUP(A45,Insumos!$A:$D,2,0)</f>
        <v>Selante de poliuretano monocomponente, hidroexpansivo, tixotrópico, cartucho com 300ml, ref. SikaSwell S-2</v>
      </c>
      <c r="D45" s="196" t="str">
        <f>VLOOKUP(A45,Insumos!$A:$D,3,0)</f>
        <v>un</v>
      </c>
      <c r="E45" s="221">
        <v>12</v>
      </c>
      <c r="F45" s="188">
        <f>VLOOKUP(A45,Insumos!$A:$D,4,0)</f>
        <v>149.17</v>
      </c>
      <c r="G45" s="33">
        <f>ROUND(E45*F45,2)</f>
        <v>1790.04</v>
      </c>
    </row>
    <row r="46" spans="1:7" ht="12.75">
      <c r="A46" s="31"/>
      <c r="B46" s="32"/>
      <c r="C46" s="195"/>
      <c r="D46" s="196"/>
      <c r="E46" s="221"/>
      <c r="F46" s="188"/>
      <c r="G46" s="33"/>
    </row>
    <row r="47" spans="1:7" ht="56.25">
      <c r="A47" s="29" t="str">
        <f>'Orçamento Sintético'!A29</f>
        <v>CCU 04.01.604</v>
      </c>
      <c r="B47" s="29" t="str">
        <f>VLOOKUP($A47,'Orçamento Sintético'!$A:$G,2,0)</f>
        <v>04.01.604</v>
      </c>
      <c r="C47" s="30" t="str">
        <f>VLOOKUP($A47,'Orçamento Sintético'!$A:$G,3,0)</f>
        <v>Impermeabilização de superfície com argamassa polimérica bicomponete, composta por 2 demaõs semi-flexível e 4 demãos flexivel, reforçado com véu de poliéster</v>
      </c>
      <c r="D47" s="220" t="str">
        <f>VLOOKUP($A47,'Orçamento Sintético'!$A:$G,4,0)</f>
        <v>m²</v>
      </c>
      <c r="E47" s="221"/>
      <c r="F47" s="189"/>
      <c r="G47" s="41">
        <f>SUM(G48:G52)</f>
        <v>72.60000000000001</v>
      </c>
    </row>
    <row r="48" spans="1:7" ht="12.75">
      <c r="A48" s="31" t="s">
        <v>181</v>
      </c>
      <c r="B48" s="32"/>
      <c r="C48" s="195" t="str">
        <f>VLOOKUP(A48,Insumos!$A:$D,2,0)</f>
        <v>Véu de poliéster</v>
      </c>
      <c r="D48" s="196" t="str">
        <f>VLOOKUP(A48,Insumos!$A:$D,3,0)</f>
        <v>m²</v>
      </c>
      <c r="E48" s="221">
        <v>1.351</v>
      </c>
      <c r="F48" s="188">
        <f>VLOOKUP(A48,Insumos!$A:$D,4,0)</f>
        <v>2.2</v>
      </c>
      <c r="G48" s="33">
        <f>ROUND(E48*F48,2)</f>
        <v>2.97</v>
      </c>
    </row>
    <row r="49" spans="1:7" ht="45">
      <c r="A49" s="31" t="s">
        <v>183</v>
      </c>
      <c r="B49" s="32"/>
      <c r="C49" s="195" t="str">
        <f>VLOOKUP(A49,Insumos!$A:$D,2,0)</f>
        <v>Revestimento impermeabilizante flexível, bicomponente, à base de resinas termoplásticas e cimentos com aditivos e incorporação de fibras sintéticas, Viaplus 7000</v>
      </c>
      <c r="D49" s="196" t="str">
        <f>VLOOKUP(A49,Insumos!$A:$D,3,0)</f>
        <v>kg</v>
      </c>
      <c r="E49" s="221">
        <f>ROUND(1.125*4,4)</f>
        <v>4.5</v>
      </c>
      <c r="F49" s="188">
        <f>VLOOKUP(A49,Insumos!$A:$D,4,0)</f>
        <v>6.89</v>
      </c>
      <c r="G49" s="33">
        <f>ROUND(E49*F49,2)</f>
        <v>31.01</v>
      </c>
    </row>
    <row r="50" spans="1:7" ht="33.75">
      <c r="A50" s="31" t="s">
        <v>185</v>
      </c>
      <c r="B50" s="32"/>
      <c r="C50" s="195" t="str">
        <f>VLOOKUP(A50,Insumos!$A:$D,2,0)</f>
        <v>Revestimento impermeabilizante semi-flexível, bicomponente - à base de cimentos especiais, adtivos minerais e polímeros, Viaplus 1000</v>
      </c>
      <c r="D50" s="196" t="str">
        <f>VLOOKUP(A50,Insumos!$A:$D,3,0)</f>
        <v>kg</v>
      </c>
      <c r="E50" s="221">
        <f>ROUND(1.125*2,4)</f>
        <v>2.25</v>
      </c>
      <c r="F50" s="188">
        <f>VLOOKUP(A50,Insumos!$A:$D,4,0)</f>
        <v>2.33</v>
      </c>
      <c r="G50" s="33">
        <f>ROUND(E50*F50,2)</f>
        <v>5.24</v>
      </c>
    </row>
    <row r="51" spans="1:7" ht="22.5">
      <c r="A51" s="31">
        <v>88243</v>
      </c>
      <c r="B51" s="32"/>
      <c r="C51" s="195" t="str">
        <f>VLOOKUP(A51,Insumos!$A:$D,2,0)</f>
        <v>Ajudante especializado com encargos complementares</v>
      </c>
      <c r="D51" s="196" t="str">
        <f>VLOOKUP(A51,Insumos!$A:$D,3,0)</f>
        <v>h</v>
      </c>
      <c r="E51" s="221">
        <f>ROUND(0.178/4*6,4)</f>
        <v>0.267</v>
      </c>
      <c r="F51" s="188">
        <f>VLOOKUP(A51,Insumos!$A:$D,4,0)</f>
        <v>18.78</v>
      </c>
      <c r="G51" s="33">
        <f>ROUND(E51*F51,2)</f>
        <v>5.01</v>
      </c>
    </row>
    <row r="52" spans="1:7" ht="12.75">
      <c r="A52" s="31">
        <v>88270</v>
      </c>
      <c r="B52" s="32"/>
      <c r="C52" s="195" t="str">
        <f>VLOOKUP(A52,Insumos!$A:$D,2,0)</f>
        <v>Impermeabilizador com encargos complementares</v>
      </c>
      <c r="D52" s="196" t="str">
        <f>VLOOKUP(A52,Insumos!$A:$D,3,0)</f>
        <v>h</v>
      </c>
      <c r="E52" s="221">
        <f>ROUND(0.881/4*6,4)</f>
        <v>1.3215</v>
      </c>
      <c r="F52" s="188">
        <f>VLOOKUP(A52,Insumos!$A:$D,4,0)</f>
        <v>21.47</v>
      </c>
      <c r="G52" s="33">
        <f>ROUND(E52*F52,2)</f>
        <v>28.37</v>
      </c>
    </row>
    <row r="53" spans="1:7" ht="12.75">
      <c r="A53" s="31"/>
      <c r="B53" s="32"/>
      <c r="C53" s="195"/>
      <c r="D53" s="196"/>
      <c r="E53" s="221"/>
      <c r="F53" s="188"/>
      <c r="G53" s="33"/>
    </row>
    <row r="54" spans="1:7" ht="12.75">
      <c r="A54" s="48"/>
      <c r="B54" s="48" t="str">
        <f>'Orçamento Sintético'!B30</f>
        <v>05.00.000</v>
      </c>
      <c r="C54" s="49" t="str">
        <f>'Orçamento Sintético'!C30</f>
        <v>INSTALAÇÕES HIDRÁULICAS E SANITÁRIAS</v>
      </c>
      <c r="D54" s="48"/>
      <c r="E54" s="50"/>
      <c r="F54" s="51"/>
      <c r="G54" s="51"/>
    </row>
    <row r="55" spans="1:7" s="226" customFormat="1" ht="12.75">
      <c r="A55" s="141"/>
      <c r="B55" s="237" t="str">
        <f>'Orçamento Sintético'!B31</f>
        <v>05.03.000</v>
      </c>
      <c r="C55" s="227" t="str">
        <f>'Orçamento Sintético'!C31</f>
        <v>DRENAGEM DE ÁGUAS PLUVIAIS</v>
      </c>
      <c r="D55" s="228"/>
      <c r="E55" s="124"/>
      <c r="F55" s="229"/>
      <c r="G55" s="125"/>
    </row>
    <row r="56" spans="1:7" ht="22.5">
      <c r="A56" s="29" t="str">
        <f>'Orçamento Sintético'!A33</f>
        <v>CCU 05.03.101</v>
      </c>
      <c r="B56" s="29" t="str">
        <f>VLOOKUP($A56,'Orçamento Sintético'!$A:$G,2,0)</f>
        <v>05.03.101</v>
      </c>
      <c r="C56" s="30" t="str">
        <f>VLOOKUP($A56,'Orçamento Sintético'!$A:$G,3,0)</f>
        <v>Tubo de aço galvanizado com costura Ø 150 mm - 6", inclusive chumbamento e fixação</v>
      </c>
      <c r="D56" s="220" t="str">
        <f>VLOOKUP($A56,'Orçamento Sintético'!$A:$G,4,0)</f>
        <v>sv</v>
      </c>
      <c r="E56" s="221"/>
      <c r="F56" s="189"/>
      <c r="G56" s="41">
        <f>SUM(G57:G62)</f>
        <v>392.42</v>
      </c>
    </row>
    <row r="57" spans="1:7" ht="22.5">
      <c r="A57" s="31">
        <v>88267</v>
      </c>
      <c r="B57" s="32"/>
      <c r="C57" s="195" t="str">
        <f>VLOOKUP(A57,Insumos!$A:$D,2,0)</f>
        <v>Encanador ou bombeiro hidráulico com encargos complementares</v>
      </c>
      <c r="D57" s="196" t="str">
        <f>VLOOKUP(A57,Insumos!$A:$D,3,0)</f>
        <v>h</v>
      </c>
      <c r="E57" s="221">
        <f>1.45*E59</f>
        <v>2.32</v>
      </c>
      <c r="F57" s="188">
        <f>VLOOKUP(A57,Insumos!$A:$D,4,0)</f>
        <v>21.06</v>
      </c>
      <c r="G57" s="33">
        <f aca="true" t="shared" si="0" ref="G57:G62">ROUND(E57*F57,2)</f>
        <v>48.86</v>
      </c>
    </row>
    <row r="58" spans="1:7" ht="22.5">
      <c r="A58" s="31">
        <v>88248</v>
      </c>
      <c r="B58" s="32"/>
      <c r="C58" s="195" t="str">
        <f>VLOOKUP(A58,Insumos!$A:$D,2,0)</f>
        <v>Auxiliar de encanador ou bombeiro hidráulico com encargos complementares</v>
      </c>
      <c r="D58" s="196" t="str">
        <f>VLOOKUP(A58,Insumos!$A:$D,3,0)</f>
        <v>h</v>
      </c>
      <c r="E58" s="221">
        <f>E57</f>
        <v>2.32</v>
      </c>
      <c r="F58" s="188">
        <f>VLOOKUP(A58,Insumos!$A:$D,4,0)</f>
        <v>16.42</v>
      </c>
      <c r="G58" s="33">
        <f t="shared" si="0"/>
        <v>38.09</v>
      </c>
    </row>
    <row r="59" spans="1:7" ht="22.5">
      <c r="A59" s="31">
        <v>7695</v>
      </c>
      <c r="B59" s="32"/>
      <c r="C59" s="195" t="str">
        <f>VLOOKUP(A59,Insumos!$A:$D,2,0)</f>
        <v>Tubo aco galvanizado com costura, classe média, dn 6", e = 4,85* mm, peso 19,68* kg/m (NBR 5580)</v>
      </c>
      <c r="D59" s="196" t="str">
        <f>VLOOKUP(A59,Insumos!$A:$D,3,0)</f>
        <v>m</v>
      </c>
      <c r="E59" s="221">
        <v>1.6</v>
      </c>
      <c r="F59" s="188">
        <f>VLOOKUP(A59,Insumos!$A:$D,4,0)</f>
        <v>158.01</v>
      </c>
      <c r="G59" s="33">
        <f t="shared" si="0"/>
        <v>252.82</v>
      </c>
    </row>
    <row r="60" spans="1:7" ht="12.75">
      <c r="A60" s="31">
        <v>134</v>
      </c>
      <c r="B60" s="32"/>
      <c r="C60" s="195" t="str">
        <f>VLOOKUP(A60,Insumos!$A:$D,2,0)</f>
        <v>Graute cimenticio para uso geral</v>
      </c>
      <c r="D60" s="196" t="str">
        <f>VLOOKUP(A60,Insumos!$A:$D,3,0)</f>
        <v>kg</v>
      </c>
      <c r="E60" s="221">
        <f>ROUND(PI()/4*((2.5^2-1.5^2)*E59)*(1975/1000),4)</f>
        <v>9.9274</v>
      </c>
      <c r="F60" s="188">
        <f>VLOOKUP(A60,Insumos!$A:$D,4,0)</f>
        <v>1.55</v>
      </c>
      <c r="G60" s="33">
        <f t="shared" si="0"/>
        <v>15.39</v>
      </c>
    </row>
    <row r="61" spans="1:7" ht="12.75">
      <c r="A61" s="31">
        <v>88309</v>
      </c>
      <c r="B61" s="32"/>
      <c r="C61" s="195" t="str">
        <f>VLOOKUP(A61,Insumos!$A:$D,2,0)</f>
        <v>Pedreiro com encargos complementares</v>
      </c>
      <c r="D61" s="196" t="str">
        <f>VLOOKUP(A61,Insumos!$A:$D,3,0)</f>
        <v>h</v>
      </c>
      <c r="E61" s="221">
        <v>1</v>
      </c>
      <c r="F61" s="188">
        <f>VLOOKUP(A61,Insumos!$A:$D,4,0)</f>
        <v>21.47</v>
      </c>
      <c r="G61" s="33">
        <f>ROUND(E61*F61,2)</f>
        <v>21.47</v>
      </c>
    </row>
    <row r="62" spans="1:7" ht="12.75">
      <c r="A62" s="31">
        <v>88316</v>
      </c>
      <c r="B62" s="32"/>
      <c r="C62" s="195" t="str">
        <f>VLOOKUP(A62,Insumos!$A:$D,2,0)</f>
        <v>Servente com encargos complementares</v>
      </c>
      <c r="D62" s="196" t="str">
        <f>VLOOKUP(A62,Insumos!$A:$D,3,0)</f>
        <v>h</v>
      </c>
      <c r="E62" s="221">
        <f>E61</f>
        <v>1</v>
      </c>
      <c r="F62" s="188">
        <f>VLOOKUP(A62,Insumos!$A:$D,4,0)</f>
        <v>15.79</v>
      </c>
      <c r="G62" s="33">
        <f t="shared" si="0"/>
        <v>15.79</v>
      </c>
    </row>
    <row r="63" spans="1:7" ht="12.75">
      <c r="A63" s="31"/>
      <c r="B63" s="32"/>
      <c r="C63" s="195"/>
      <c r="D63" s="196"/>
      <c r="E63" s="221"/>
      <c r="F63" s="188"/>
      <c r="G63" s="33"/>
    </row>
    <row r="64" spans="1:7" ht="22.5">
      <c r="A64" s="29" t="str">
        <f>'Orçamento Sintético'!A34</f>
        <v>CCU 05.03.102</v>
      </c>
      <c r="B64" s="29" t="str">
        <f>VLOOKUP($A64,'Orçamento Sintético'!$A:$G,2,0)</f>
        <v>05.03.102</v>
      </c>
      <c r="C64" s="30" t="str">
        <f>VLOOKUP($A64,'Orçamento Sintético'!$A:$G,3,0)</f>
        <v>Tubo de aço galvanizado com costura Ø 100 mm - 4", inclusive chumbamento e fixação</v>
      </c>
      <c r="D64" s="220" t="str">
        <f>VLOOKUP($A64,'Orçamento Sintético'!$A:$G,4,0)</f>
        <v>sv</v>
      </c>
      <c r="E64" s="221"/>
      <c r="F64" s="189"/>
      <c r="G64" s="41">
        <f>SUM(G65:G70)</f>
        <v>271.06</v>
      </c>
    </row>
    <row r="65" spans="1:7" ht="22.5">
      <c r="A65" s="31">
        <v>88267</v>
      </c>
      <c r="B65" s="32"/>
      <c r="C65" s="195" t="str">
        <f>VLOOKUP(A65,Insumos!$A:$D,2,0)</f>
        <v>Encanador ou bombeiro hidráulico com encargos complementares</v>
      </c>
      <c r="D65" s="196" t="str">
        <f>VLOOKUP(A65,Insumos!$A:$D,3,0)</f>
        <v>h</v>
      </c>
      <c r="E65" s="221">
        <f>1.11*E67</f>
        <v>1.7760000000000002</v>
      </c>
      <c r="F65" s="188">
        <f>VLOOKUP(A65,Insumos!$A:$D,4,0)</f>
        <v>21.06</v>
      </c>
      <c r="G65" s="33">
        <f aca="true" t="shared" si="1" ref="G65:G70">ROUND(E65*F65,2)</f>
        <v>37.4</v>
      </c>
    </row>
    <row r="66" spans="1:7" ht="22.5">
      <c r="A66" s="31">
        <v>88248</v>
      </c>
      <c r="B66" s="32"/>
      <c r="C66" s="195" t="str">
        <f>VLOOKUP(A66,Insumos!$A:$D,2,0)</f>
        <v>Auxiliar de encanador ou bombeiro hidráulico com encargos complementares</v>
      </c>
      <c r="D66" s="196" t="str">
        <f>VLOOKUP(A66,Insumos!$A:$D,3,0)</f>
        <v>h</v>
      </c>
      <c r="E66" s="221">
        <f>E65</f>
        <v>1.7760000000000002</v>
      </c>
      <c r="F66" s="188">
        <f>VLOOKUP(A66,Insumos!$A:$D,4,0)</f>
        <v>16.42</v>
      </c>
      <c r="G66" s="33">
        <f t="shared" si="1"/>
        <v>29.16</v>
      </c>
    </row>
    <row r="67" spans="1:7" ht="22.5">
      <c r="A67" s="31">
        <v>7693</v>
      </c>
      <c r="B67" s="32"/>
      <c r="C67" s="195" t="str">
        <f>VLOOKUP(A67,Insumos!$A:$D,2,0)</f>
        <v>Tubo aco galvanizado com costura, classe média, dn 4", e = 4,50* mm, peso 12,10* kg/m (NBR 5580)</v>
      </c>
      <c r="D67" s="196" t="str">
        <f>VLOOKUP(A67,Insumos!$A:$D,3,0)</f>
        <v>m</v>
      </c>
      <c r="E67" s="221">
        <v>1.6</v>
      </c>
      <c r="F67" s="188">
        <f>VLOOKUP(A67,Insumos!$A:$D,4,0)</f>
        <v>97.31</v>
      </c>
      <c r="G67" s="33">
        <f t="shared" si="1"/>
        <v>155.7</v>
      </c>
    </row>
    <row r="68" spans="1:7" ht="12.75">
      <c r="A68" s="31">
        <v>134</v>
      </c>
      <c r="B68" s="32"/>
      <c r="C68" s="195" t="str">
        <f>VLOOKUP(A68,Insumos!$A:$D,2,0)</f>
        <v>Graute cimenticio para uso geral</v>
      </c>
      <c r="D68" s="196" t="str">
        <f>VLOOKUP(A68,Insumos!$A:$D,3,0)</f>
        <v>kg</v>
      </c>
      <c r="E68" s="221">
        <f>ROUND(PI()/4*((2^2-1^2)*E67)*(1975/1000),4)</f>
        <v>7.4456</v>
      </c>
      <c r="F68" s="188">
        <f>VLOOKUP(A68,Insumos!$A:$D,4,0)</f>
        <v>1.55</v>
      </c>
      <c r="G68" s="33">
        <f t="shared" si="1"/>
        <v>11.54</v>
      </c>
    </row>
    <row r="69" spans="1:7" ht="12.75">
      <c r="A69" s="31">
        <v>88309</v>
      </c>
      <c r="B69" s="32"/>
      <c r="C69" s="195" t="str">
        <f>VLOOKUP(A69,Insumos!$A:$D,2,0)</f>
        <v>Pedreiro com encargos complementares</v>
      </c>
      <c r="D69" s="196" t="str">
        <f>VLOOKUP(A69,Insumos!$A:$D,3,0)</f>
        <v>h</v>
      </c>
      <c r="E69" s="221">
        <v>1</v>
      </c>
      <c r="F69" s="188">
        <f>VLOOKUP(A69,Insumos!$A:$D,4,0)</f>
        <v>21.47</v>
      </c>
      <c r="G69" s="33">
        <f t="shared" si="1"/>
        <v>21.47</v>
      </c>
    </row>
    <row r="70" spans="1:7" ht="12.75">
      <c r="A70" s="31">
        <v>88316</v>
      </c>
      <c r="B70" s="32"/>
      <c r="C70" s="195" t="str">
        <f>VLOOKUP(A70,Insumos!$A:$D,2,0)</f>
        <v>Servente com encargos complementares</v>
      </c>
      <c r="D70" s="196" t="str">
        <f>VLOOKUP(A70,Insumos!$A:$D,3,0)</f>
        <v>h</v>
      </c>
      <c r="E70" s="221">
        <f>E69</f>
        <v>1</v>
      </c>
      <c r="F70" s="188">
        <f>VLOOKUP(A70,Insumos!$A:$D,4,0)</f>
        <v>15.79</v>
      </c>
      <c r="G70" s="33">
        <f t="shared" si="1"/>
        <v>15.79</v>
      </c>
    </row>
    <row r="71" spans="1:7" ht="12.75">
      <c r="A71" s="31"/>
      <c r="B71" s="32"/>
      <c r="C71" s="195"/>
      <c r="D71" s="196"/>
      <c r="E71" s="221"/>
      <c r="F71" s="188"/>
      <c r="G71" s="33"/>
    </row>
    <row r="72" spans="1:7" ht="33.75">
      <c r="A72" s="29" t="str">
        <f>'Orçamento Sintético'!A35</f>
        <v>CCU 05.03.103</v>
      </c>
      <c r="B72" s="29" t="str">
        <f>VLOOKUP($A72,'Orçamento Sintético'!$A:$G,2,0)</f>
        <v>05.03.103</v>
      </c>
      <c r="C72" s="30" t="str">
        <f>VLOOKUP($A72,'Orçamento Sintético'!$A:$G,3,0)</f>
        <v>Válvula de gaveta classe 125, em ferro fundido Ø 150mm (6"), extremidades flangeadas</v>
      </c>
      <c r="D72" s="220" t="str">
        <f>VLOOKUP($A72,'Orçamento Sintético'!$A:$G,4,0)</f>
        <v>un</v>
      </c>
      <c r="E72" s="221"/>
      <c r="F72" s="189"/>
      <c r="G72" s="41">
        <f>SUM(G73:G76)</f>
        <v>2790.29</v>
      </c>
    </row>
    <row r="73" spans="1:7" ht="22.5">
      <c r="A73" s="31" t="s">
        <v>239</v>
      </c>
      <c r="B73" s="32"/>
      <c r="C73" s="195" t="str">
        <f>VLOOKUP(A73,Insumos!$A:$D,2,0)</f>
        <v>Válvula de gaveta classe 125, em ferro fundido Ø 150mm (6"), extremidades flangeadas</v>
      </c>
      <c r="D73" s="196" t="str">
        <f>VLOOKUP(A73,Insumos!$A:$D,3,0)</f>
        <v>un</v>
      </c>
      <c r="E73" s="221">
        <v>1</v>
      </c>
      <c r="F73" s="188">
        <f>VLOOKUP(A73,Insumos!$A:$D,4,0)</f>
        <v>2275.38</v>
      </c>
      <c r="G73" s="33">
        <f>ROUND(E73*F73,2)</f>
        <v>2275.38</v>
      </c>
    </row>
    <row r="74" spans="1:7" ht="22.5">
      <c r="A74" s="31" t="s">
        <v>225</v>
      </c>
      <c r="B74" s="32"/>
      <c r="C74" s="195" t="str">
        <f>VLOOKUP(A74,Insumos!$A:$D,2,0)</f>
        <v>Contra flange em ferro galvanizado, com rosca fêmea BSP 6"</v>
      </c>
      <c r="D74" s="196" t="str">
        <f>VLOOKUP(A74,Insumos!$A:$D,3,0)</f>
        <v>un</v>
      </c>
      <c r="E74" s="221">
        <v>1</v>
      </c>
      <c r="F74" s="188">
        <f>VLOOKUP(A74,Insumos!$A:$D,4,0)</f>
        <v>439.95</v>
      </c>
      <c r="G74" s="33">
        <f>ROUND(E74*F74,2)</f>
        <v>439.95</v>
      </c>
    </row>
    <row r="75" spans="1:7" ht="22.5">
      <c r="A75" s="31">
        <v>88267</v>
      </c>
      <c r="B75" s="32"/>
      <c r="C75" s="195" t="str">
        <f>VLOOKUP(A75,Insumos!$A:$D,2,0)</f>
        <v>Encanador ou bombeiro hidráulico com encargos complementares</v>
      </c>
      <c r="D75" s="196" t="str">
        <f>VLOOKUP(A75,Insumos!$A:$D,3,0)</f>
        <v>h</v>
      </c>
      <c r="E75" s="221">
        <v>2</v>
      </c>
      <c r="F75" s="188">
        <f>VLOOKUP(A75,Insumos!$A:$D,4,0)</f>
        <v>21.06</v>
      </c>
      <c r="G75" s="33">
        <f>ROUND(E75*F75,2)</f>
        <v>42.12</v>
      </c>
    </row>
    <row r="76" spans="1:7" ht="22.5">
      <c r="A76" s="31">
        <v>88248</v>
      </c>
      <c r="B76" s="32"/>
      <c r="C76" s="195" t="str">
        <f>VLOOKUP(A76,Insumos!$A:$D,2,0)</f>
        <v>Auxiliar de encanador ou bombeiro hidráulico com encargos complementares</v>
      </c>
      <c r="D76" s="196" t="str">
        <f>VLOOKUP(A76,Insumos!$A:$D,3,0)</f>
        <v>h</v>
      </c>
      <c r="E76" s="221">
        <v>2</v>
      </c>
      <c r="F76" s="188">
        <f>VLOOKUP(A76,Insumos!$A:$D,4,0)</f>
        <v>16.42</v>
      </c>
      <c r="G76" s="33">
        <f>ROUND(E76*F76,2)</f>
        <v>32.84</v>
      </c>
    </row>
    <row r="77" spans="1:7" ht="12.75">
      <c r="A77" s="238"/>
      <c r="B77" s="239"/>
      <c r="C77" s="235"/>
      <c r="D77" s="236"/>
      <c r="E77" s="221"/>
      <c r="F77" s="188"/>
      <c r="G77" s="33"/>
    </row>
    <row r="78" spans="1:7" ht="33.75">
      <c r="A78" s="29" t="str">
        <f>'Orçamento Sintético'!A37</f>
        <v>CCU05.03.105</v>
      </c>
      <c r="B78" s="29" t="str">
        <f>VLOOKUP($A78,'Orçamento Sintético'!$A:$G,2,0)</f>
        <v>05.03.105</v>
      </c>
      <c r="C78" s="30" t="str">
        <f>VLOOKUP($A78,'Orçamento Sintético'!$A:$G,3,0)</f>
        <v>Hidrômetro Tipo Woltmann DN 80mm ref. H5000 com conexões contra-flange, , fab. Honeywell Elster e conectores RM 79x3''</v>
      </c>
      <c r="D78" s="220" t="str">
        <f>VLOOKUP($A78,'Orçamento Sintético'!$A:$G,4,0)</f>
        <v>un</v>
      </c>
      <c r="E78" s="221"/>
      <c r="F78" s="189"/>
      <c r="G78" s="41">
        <f>SUM(G79:G83)</f>
        <v>2835.7799999999997</v>
      </c>
    </row>
    <row r="79" spans="1:7" ht="22.5">
      <c r="A79" s="31">
        <v>12777</v>
      </c>
      <c r="B79" s="32"/>
      <c r="C79" s="195" t="str">
        <f>VLOOKUP(A79,Insumos!$A:$D,2,0)</f>
        <v>Hidrômetro Woltmann, vazão máxima de 80,0 m³/h, de 3"</v>
      </c>
      <c r="D79" s="196" t="str">
        <f>VLOOKUP(A79,Insumos!$A:$D,3,0)</f>
        <v>un</v>
      </c>
      <c r="E79" s="221">
        <v>1</v>
      </c>
      <c r="F79" s="188">
        <f>VLOOKUP(A79,Insumos!$A:$D,4,0)</f>
        <v>2213.23</v>
      </c>
      <c r="G79" s="33">
        <f>ROUND(E79*F79,2)</f>
        <v>2213.23</v>
      </c>
    </row>
    <row r="80" spans="1:7" ht="22.5">
      <c r="A80" s="31" t="s">
        <v>251</v>
      </c>
      <c r="B80" s="32"/>
      <c r="C80" s="195" t="str">
        <f>VLOOKUP(A80,Insumos!$A:$D,2,0)</f>
        <v>Contra flange em ferro galvanizado, com rosca fêmea BSP 3"</v>
      </c>
      <c r="D80" s="196" t="str">
        <f>VLOOKUP(A80,Insumos!$A:$D,3,0)</f>
        <v>un</v>
      </c>
      <c r="E80" s="221">
        <v>1</v>
      </c>
      <c r="F80" s="188">
        <f>VLOOKUP(A80,Insumos!$A:$D,4,0)</f>
        <v>403.52</v>
      </c>
      <c r="G80" s="33">
        <f>ROUND(E80*F80,2)</f>
        <v>403.52</v>
      </c>
    </row>
    <row r="81" spans="1:7" ht="12.75">
      <c r="A81" s="31" t="s">
        <v>226</v>
      </c>
      <c r="B81" s="32"/>
      <c r="C81" s="195" t="str">
        <f>VLOOKUP(A81,Insumos!$A:$D,2,0)</f>
        <v>Conector cobre RM 79x3''</v>
      </c>
      <c r="D81" s="196" t="str">
        <f>VLOOKUP(A81,Insumos!$A:$D,3,0)</f>
        <v>un</v>
      </c>
      <c r="E81" s="221">
        <v>2</v>
      </c>
      <c r="F81" s="188">
        <f>VLOOKUP(A81,Insumos!$A:$D,4,0)</f>
        <v>86.49</v>
      </c>
      <c r="G81" s="33">
        <f>ROUND(E81*F81,2)</f>
        <v>172.98</v>
      </c>
    </row>
    <row r="82" spans="1:7" ht="12.75">
      <c r="A82" s="31">
        <v>88316</v>
      </c>
      <c r="B82" s="32"/>
      <c r="C82" s="195" t="str">
        <f>VLOOKUP(A82,Insumos!$A:$D,2,0)</f>
        <v>Servente com encargos complementares</v>
      </c>
      <c r="D82" s="196" t="str">
        <f>VLOOKUP(A82,Insumos!$A:$D,3,0)</f>
        <v>h</v>
      </c>
      <c r="E82" s="221">
        <v>1.2</v>
      </c>
      <c r="F82" s="188">
        <f>VLOOKUP(A82,Insumos!$A:$D,4,0)</f>
        <v>15.79</v>
      </c>
      <c r="G82" s="33">
        <f>ROUND(E82*F82,2)</f>
        <v>18.95</v>
      </c>
    </row>
    <row r="83" spans="1:7" ht="22.5">
      <c r="A83" s="31">
        <v>88277</v>
      </c>
      <c r="B83" s="32"/>
      <c r="C83" s="195" t="str">
        <f>VLOOKUP(A83,Insumos!$A:$D,2,0)</f>
        <v>Montador (tubo aço / equipamentos) com encargos complementares</v>
      </c>
      <c r="D83" s="196" t="str">
        <f>VLOOKUP(A83,Insumos!$A:$D,3,0)</f>
        <v>h</v>
      </c>
      <c r="E83" s="221">
        <v>1.6</v>
      </c>
      <c r="F83" s="188">
        <f>VLOOKUP(A83,Insumos!$A:$D,4,0)</f>
        <v>16.94</v>
      </c>
      <c r="G83" s="33">
        <f>ROUND(E83*F83,2)</f>
        <v>27.1</v>
      </c>
    </row>
    <row r="84" spans="1:7" ht="12.75">
      <c r="A84" s="238"/>
      <c r="B84" s="239"/>
      <c r="C84" s="235"/>
      <c r="D84" s="236"/>
      <c r="E84" s="221"/>
      <c r="F84" s="188"/>
      <c r="G84" s="33"/>
    </row>
    <row r="85" spans="1:7" ht="45">
      <c r="A85" s="29" t="str">
        <f>'Orçamento Sintético'!A38</f>
        <v>CCU05.03.106</v>
      </c>
      <c r="B85" s="29" t="str">
        <f>VLOOKUP($A85,'Orçamento Sintético'!$A:$G,2,0)</f>
        <v>05.03.106</v>
      </c>
      <c r="C85" s="30" t="str">
        <f>VLOOKUP($A85,'Orçamento Sintético'!$A:$G,3,0)</f>
        <v>Hidrômetro Woltmann 65mm, ref. H5000, fab. Honeywell Elster, com conexões contra-flange - marca Elster/Honeywell e conectores RM 66x2 1/2''</v>
      </c>
      <c r="D85" s="220" t="str">
        <f>VLOOKUP($A85,'Orçamento Sintético'!$A:$G,4,0)</f>
        <v>un</v>
      </c>
      <c r="E85" s="221"/>
      <c r="F85" s="189"/>
      <c r="G85" s="41">
        <f>SUM(G86:G89)</f>
        <v>1339.63</v>
      </c>
    </row>
    <row r="86" spans="1:7" ht="22.5">
      <c r="A86" s="31" t="s">
        <v>217</v>
      </c>
      <c r="B86" s="32"/>
      <c r="C86" s="195" t="str">
        <f>VLOOKUP(A86,Insumos!$A:$D,2,0)</f>
        <v>Hidrômetro Woltmann, diâmetro DN65, ref. H5000, fab. Honeywell Elster, inclusive contra flanges</v>
      </c>
      <c r="D86" s="196" t="str">
        <f>VLOOKUP(A86,Insumos!$A:$D,3,0)</f>
        <v>un</v>
      </c>
      <c r="E86" s="221">
        <v>1</v>
      </c>
      <c r="F86" s="188">
        <f>VLOOKUP(A86,Insumos!$A:$D,4,0)</f>
        <v>1186.5</v>
      </c>
      <c r="G86" s="33">
        <f>ROUND(E86*F86,2)</f>
        <v>1186.5</v>
      </c>
    </row>
    <row r="87" spans="1:7" ht="12.75">
      <c r="A87" s="31" t="s">
        <v>228</v>
      </c>
      <c r="B87" s="32"/>
      <c r="C87" s="195" t="str">
        <f>VLOOKUP(A87,Insumos!$A:$D,2,0)</f>
        <v>Conector cobre RM 66x2 1/2''</v>
      </c>
      <c r="D87" s="196" t="str">
        <f>VLOOKUP(A87,Insumos!$A:$D,3,0)</f>
        <v>un</v>
      </c>
      <c r="E87" s="221">
        <v>2</v>
      </c>
      <c r="F87" s="188">
        <f>VLOOKUP(A87,Insumos!$A:$D,4,0)</f>
        <v>60.2</v>
      </c>
      <c r="G87" s="33">
        <f>ROUND(E87*F87,2)</f>
        <v>120.4</v>
      </c>
    </row>
    <row r="88" spans="1:7" ht="12.75">
      <c r="A88" s="31">
        <v>88316</v>
      </c>
      <c r="B88" s="32"/>
      <c r="C88" s="195" t="str">
        <f>VLOOKUP(A88,Insumos!$A:$D,2,0)</f>
        <v>Servente com encargos complementares</v>
      </c>
      <c r="D88" s="196" t="str">
        <f>VLOOKUP(A88,Insumos!$A:$D,3,0)</f>
        <v>h</v>
      </c>
      <c r="E88" s="221">
        <v>1</v>
      </c>
      <c r="F88" s="188">
        <f>VLOOKUP(A88,Insumos!$A:$D,4,0)</f>
        <v>15.79</v>
      </c>
      <c r="G88" s="33">
        <f>ROUND(E88*F88,2)</f>
        <v>15.79</v>
      </c>
    </row>
    <row r="89" spans="1:7" ht="22.5">
      <c r="A89" s="31">
        <v>88277</v>
      </c>
      <c r="B89" s="32"/>
      <c r="C89" s="195" t="str">
        <f>VLOOKUP(A89,Insumos!$A:$D,2,0)</f>
        <v>Montador (tubo aço / equipamentos) com encargos complementares</v>
      </c>
      <c r="D89" s="196" t="str">
        <f>VLOOKUP(A89,Insumos!$A:$D,3,0)</f>
        <v>h</v>
      </c>
      <c r="E89" s="221">
        <v>1</v>
      </c>
      <c r="F89" s="188">
        <f>VLOOKUP(A89,Insumos!$A:$D,4,0)</f>
        <v>16.94</v>
      </c>
      <c r="G89" s="33">
        <f>ROUND(E89*F89,2)</f>
        <v>16.94</v>
      </c>
    </row>
    <row r="90" spans="1:7" ht="12.75">
      <c r="A90" s="238"/>
      <c r="B90" s="239"/>
      <c r="C90" s="235"/>
      <c r="D90" s="236"/>
      <c r="E90" s="221"/>
      <c r="F90" s="188"/>
      <c r="G90" s="33"/>
    </row>
    <row r="91" spans="1:7" ht="33.75">
      <c r="A91" s="29" t="str">
        <f>'Orçamento Sintético'!A39</f>
        <v>CCU05.03.107</v>
      </c>
      <c r="B91" s="29" t="str">
        <f>VLOOKUP($A91,'Orçamento Sintético'!$A:$G,2,0)</f>
        <v>05.03.107</v>
      </c>
      <c r="C91" s="30" t="str">
        <f>VLOOKUP($A91,'Orçamento Sintético'!$A:$G,3,0)</f>
        <v>Hidrômetro ultrassônico DN 50mm, ref. Hydrus, fab. Diehl, com conexões contra-flange e conectores RM 54x2'';</v>
      </c>
      <c r="D91" s="220" t="str">
        <f>VLOOKUP($A91,'Orçamento Sintético'!$A:$G,4,0)</f>
        <v>un</v>
      </c>
      <c r="E91" s="221"/>
      <c r="F91" s="189"/>
      <c r="G91" s="41">
        <f>SUM(G92:G96)</f>
        <v>3586.98</v>
      </c>
    </row>
    <row r="92" spans="1:7" ht="22.5">
      <c r="A92" s="31" t="s">
        <v>218</v>
      </c>
      <c r="B92" s="32"/>
      <c r="C92" s="195" t="str">
        <f>VLOOKUP(A92,Insumos!$A:$D,2,0)</f>
        <v>Hidrômetro ultrassônico DN 50mm, ref. Hydrus, fab. Diehl</v>
      </c>
      <c r="D92" s="196" t="str">
        <f>VLOOKUP(A92,Insumos!$A:$D,3,0)</f>
        <v>un</v>
      </c>
      <c r="E92" s="221">
        <v>1</v>
      </c>
      <c r="F92" s="188">
        <f>VLOOKUP(A92,Insumos!$A:$D,4,0)</f>
        <v>3255</v>
      </c>
      <c r="G92" s="33">
        <f>ROUND(E92*F92,2)</f>
        <v>3255</v>
      </c>
    </row>
    <row r="93" spans="1:7" ht="12.75">
      <c r="A93" s="31" t="s">
        <v>232</v>
      </c>
      <c r="B93" s="32"/>
      <c r="C93" s="195" t="str">
        <f>VLOOKUP(A93,Insumos!$A:$D,2,0)</f>
        <v>Contra flange 2" para hidrômetro</v>
      </c>
      <c r="D93" s="196" t="str">
        <f>VLOOKUP(A93,Insumos!$A:$D,3,0)</f>
        <v>un</v>
      </c>
      <c r="E93" s="221">
        <v>1</v>
      </c>
      <c r="F93" s="188">
        <f>VLOOKUP(A93,Insumos!$A:$D,4,0)</f>
        <v>187.46</v>
      </c>
      <c r="G93" s="33">
        <f>ROUND(E93*F93,2)</f>
        <v>187.46</v>
      </c>
    </row>
    <row r="94" spans="1:7" ht="12.75">
      <c r="A94" s="31" t="s">
        <v>233</v>
      </c>
      <c r="B94" s="32"/>
      <c r="C94" s="195" t="str">
        <f>VLOOKUP(A94,Insumos!$A:$D,2,0)</f>
        <v>Conector cobre RM 54x2"</v>
      </c>
      <c r="D94" s="196" t="str">
        <f>VLOOKUP(A94,Insumos!$A:$D,3,0)</f>
        <v>un</v>
      </c>
      <c r="E94" s="221">
        <v>2</v>
      </c>
      <c r="F94" s="188">
        <f>VLOOKUP(A94,Insumos!$A:$D,4,0)</f>
        <v>39.53</v>
      </c>
      <c r="G94" s="33">
        <f>ROUND(E94*F94,2)</f>
        <v>79.06</v>
      </c>
    </row>
    <row r="95" spans="1:7" ht="12.75">
      <c r="A95" s="31">
        <v>88316</v>
      </c>
      <c r="B95" s="32"/>
      <c r="C95" s="195" t="str">
        <f>VLOOKUP(A95,Insumos!$A:$D,2,0)</f>
        <v>Servente com encargos complementares</v>
      </c>
      <c r="D95" s="196" t="str">
        <f>VLOOKUP(A95,Insumos!$A:$D,3,0)</f>
        <v>h</v>
      </c>
      <c r="E95" s="221">
        <v>2</v>
      </c>
      <c r="F95" s="188">
        <f>VLOOKUP(A95,Insumos!$A:$D,4,0)</f>
        <v>15.79</v>
      </c>
      <c r="G95" s="33">
        <f>ROUND(E95*F95,2)</f>
        <v>31.58</v>
      </c>
    </row>
    <row r="96" spans="1:7" ht="22.5">
      <c r="A96" s="31">
        <v>88277</v>
      </c>
      <c r="B96" s="32"/>
      <c r="C96" s="195" t="str">
        <f>VLOOKUP(A96,Insumos!$A:$D,2,0)</f>
        <v>Montador (tubo aço / equipamentos) com encargos complementares</v>
      </c>
      <c r="D96" s="196" t="str">
        <f>VLOOKUP(A96,Insumos!$A:$D,3,0)</f>
        <v>h</v>
      </c>
      <c r="E96" s="221">
        <v>2</v>
      </c>
      <c r="F96" s="188">
        <f>VLOOKUP(A96,Insumos!$A:$D,4,0)</f>
        <v>16.94</v>
      </c>
      <c r="G96" s="33">
        <f>ROUND(E96*F96,2)</f>
        <v>33.88</v>
      </c>
    </row>
    <row r="97" spans="1:7" ht="12.75">
      <c r="A97" s="238"/>
      <c r="B97" s="239"/>
      <c r="C97" s="235"/>
      <c r="D97" s="236"/>
      <c r="E97" s="221"/>
      <c r="F97" s="188"/>
      <c r="G97" s="33"/>
    </row>
    <row r="98" spans="1:7" ht="33.75">
      <c r="A98" s="29" t="str">
        <f>'Orçamento Sintético'!A40</f>
        <v>CCU05.03.108</v>
      </c>
      <c r="B98" s="29" t="str">
        <f>VLOOKUP($A98,'Orçamento Sintético'!$A:$G,2,0)</f>
        <v>05.03.108</v>
      </c>
      <c r="C98" s="30" t="str">
        <f>VLOOKUP($A98,'Orçamento Sintético'!$A:$G,3,0)</f>
        <v>Hidrômetro ultrassônico DN 40mm, ref. Hydrus, fab. Diehl, com conectores RF 42X1 1/2'' </v>
      </c>
      <c r="D98" s="220" t="str">
        <f>VLOOKUP($A98,'Orçamento Sintético'!$A:$G,4,0)</f>
        <v>un</v>
      </c>
      <c r="E98" s="221"/>
      <c r="F98" s="189"/>
      <c r="G98" s="41">
        <f>SUM(G99:G102)</f>
        <v>3078.5</v>
      </c>
    </row>
    <row r="99" spans="1:7" ht="22.5">
      <c r="A99" s="31" t="s">
        <v>220</v>
      </c>
      <c r="B99" s="32"/>
      <c r="C99" s="195" t="str">
        <f>VLOOKUP(A99,Insumos!$A:$D,2,0)</f>
        <v>Hidrômetro ultrassônico DN 40mm, ref. Hydrus, fab. Diehl</v>
      </c>
      <c r="D99" s="196" t="str">
        <f>VLOOKUP(A99,Insumos!$A:$D,3,0)</f>
        <v>un</v>
      </c>
      <c r="E99" s="221">
        <v>1</v>
      </c>
      <c r="F99" s="188">
        <f>VLOOKUP(A99,Insumos!$A:$D,4,0)</f>
        <v>2940</v>
      </c>
      <c r="G99" s="33">
        <f>ROUND(E99*F99,2)</f>
        <v>2940</v>
      </c>
    </row>
    <row r="100" spans="1:7" ht="12.75">
      <c r="A100" s="31" t="s">
        <v>234</v>
      </c>
      <c r="B100" s="32"/>
      <c r="C100" s="195" t="str">
        <f>VLOOKUP(A100,Insumos!$A:$D,2,0)</f>
        <v>Conector cobre RF 42X1 1/2'' </v>
      </c>
      <c r="D100" s="196" t="str">
        <f>VLOOKUP(A100,Insumos!$A:$D,3,0)</f>
        <v>un</v>
      </c>
      <c r="E100" s="221">
        <v>2</v>
      </c>
      <c r="F100" s="188">
        <f>VLOOKUP(A100,Insumos!$A:$D,4,0)</f>
        <v>36.52</v>
      </c>
      <c r="G100" s="33">
        <f>ROUND(E100*F100,2)</f>
        <v>73.04</v>
      </c>
    </row>
    <row r="101" spans="1:7" ht="12.75">
      <c r="A101" s="31">
        <v>88316</v>
      </c>
      <c r="B101" s="32"/>
      <c r="C101" s="195" t="str">
        <f>VLOOKUP(A101,Insumos!$A:$D,2,0)</f>
        <v>Servente com encargos complementares</v>
      </c>
      <c r="D101" s="196" t="str">
        <f>VLOOKUP(A101,Insumos!$A:$D,3,0)</f>
        <v>h</v>
      </c>
      <c r="E101" s="221">
        <v>2</v>
      </c>
      <c r="F101" s="188">
        <f>VLOOKUP(A101,Insumos!$A:$D,4,0)</f>
        <v>15.79</v>
      </c>
      <c r="G101" s="33">
        <f>ROUND(E101*F101,2)</f>
        <v>31.58</v>
      </c>
    </row>
    <row r="102" spans="1:7" ht="22.5">
      <c r="A102" s="31">
        <v>88277</v>
      </c>
      <c r="B102" s="32"/>
      <c r="C102" s="195" t="str">
        <f>VLOOKUP(A102,Insumos!$A:$D,2,0)</f>
        <v>Montador (tubo aço / equipamentos) com encargos complementares</v>
      </c>
      <c r="D102" s="196" t="str">
        <f>VLOOKUP(A102,Insumos!$A:$D,3,0)</f>
        <v>h</v>
      </c>
      <c r="E102" s="221">
        <v>2</v>
      </c>
      <c r="F102" s="188">
        <f>VLOOKUP(A102,Insumos!$A:$D,4,0)</f>
        <v>16.94</v>
      </c>
      <c r="G102" s="33">
        <f>ROUND(E102*F102,2)</f>
        <v>33.88</v>
      </c>
    </row>
    <row r="103" spans="1:7" ht="12.75">
      <c r="A103" s="238"/>
      <c r="B103" s="239"/>
      <c r="C103" s="235"/>
      <c r="D103" s="236"/>
      <c r="E103" s="221"/>
      <c r="F103" s="188"/>
      <c r="G103" s="33"/>
    </row>
    <row r="104" spans="1:7" ht="22.5">
      <c r="A104" s="29" t="str">
        <f>'Orçamento Sintético'!A41</f>
        <v>CCU05.03.109</v>
      </c>
      <c r="B104" s="29" t="str">
        <f>VLOOKUP($A104,'Orçamento Sintético'!$A:$G,2,0)</f>
        <v>05.03.109</v>
      </c>
      <c r="C104" s="30" t="str">
        <f>VLOOKUP($A104,'Orçamento Sintético'!$A:$G,3,0)</f>
        <v>Hidrômetro ultrassônico DN 25mm, ref. Hydrus, fab. Diehl, com conectores RF 28x1"</v>
      </c>
      <c r="D104" s="220" t="str">
        <f>VLOOKUP($A104,'Orçamento Sintético'!$A:$G,4,0)</f>
        <v>un</v>
      </c>
      <c r="E104" s="221"/>
      <c r="F104" s="189"/>
      <c r="G104" s="41">
        <f>SUM(G105:G108)</f>
        <v>1615.96</v>
      </c>
    </row>
    <row r="105" spans="1:7" ht="22.5">
      <c r="A105" s="31" t="s">
        <v>222</v>
      </c>
      <c r="B105" s="32"/>
      <c r="C105" s="195" t="str">
        <f>VLOOKUP(A105,Insumos!$A:$D,2,0)</f>
        <v>Hidrômetro ultrassônico DN 25mm, ref. Hydrus, fab. Diehl</v>
      </c>
      <c r="D105" s="196" t="str">
        <f>VLOOKUP(A105,Insumos!$A:$D,3,0)</f>
        <v>un</v>
      </c>
      <c r="E105" s="221">
        <v>1</v>
      </c>
      <c r="F105" s="188">
        <f>VLOOKUP(A105,Insumos!$A:$D,4,0)</f>
        <v>1522.5</v>
      </c>
      <c r="G105" s="33">
        <f>ROUND(E105*F105,2)</f>
        <v>1522.5</v>
      </c>
    </row>
    <row r="106" spans="1:7" ht="12.75">
      <c r="A106" s="31" t="s">
        <v>235</v>
      </c>
      <c r="B106" s="32"/>
      <c r="C106" s="195" t="str">
        <f>VLOOKUP(A106,Insumos!$A:$D,2,0)</f>
        <v>Conector cobre RF 28x1"</v>
      </c>
      <c r="D106" s="196" t="str">
        <f>VLOOKUP(A106,Insumos!$A:$D,3,0)</f>
        <v>un</v>
      </c>
      <c r="E106" s="221">
        <v>2</v>
      </c>
      <c r="F106" s="188">
        <f>VLOOKUP(A106,Insumos!$A:$D,4,0)</f>
        <v>14</v>
      </c>
      <c r="G106" s="33">
        <f>ROUND(E106*F106,2)</f>
        <v>28</v>
      </c>
    </row>
    <row r="107" spans="1:7" ht="12.75">
      <c r="A107" s="31">
        <v>88316</v>
      </c>
      <c r="B107" s="32"/>
      <c r="C107" s="195" t="str">
        <f>VLOOKUP(A107,Insumos!$A:$D,2,0)</f>
        <v>Servente com encargos complementares</v>
      </c>
      <c r="D107" s="196" t="str">
        <f>VLOOKUP(A107,Insumos!$A:$D,3,0)</f>
        <v>h</v>
      </c>
      <c r="E107" s="221">
        <v>2</v>
      </c>
      <c r="F107" s="188">
        <f>VLOOKUP(A107,Insumos!$A:$D,4,0)</f>
        <v>15.79</v>
      </c>
      <c r="G107" s="33">
        <f>ROUND(E107*F107,2)</f>
        <v>31.58</v>
      </c>
    </row>
    <row r="108" spans="1:7" ht="22.5">
      <c r="A108" s="31">
        <v>88277</v>
      </c>
      <c r="B108" s="32"/>
      <c r="C108" s="195" t="str">
        <f>VLOOKUP(A108,Insumos!$A:$D,2,0)</f>
        <v>Montador (tubo aço / equipamentos) com encargos complementares</v>
      </c>
      <c r="D108" s="196" t="str">
        <f>VLOOKUP(A108,Insumos!$A:$D,3,0)</f>
        <v>h</v>
      </c>
      <c r="E108" s="221">
        <v>2</v>
      </c>
      <c r="F108" s="188">
        <f>VLOOKUP(A108,Insumos!$A:$D,4,0)</f>
        <v>16.94</v>
      </c>
      <c r="G108" s="33">
        <f>ROUND(E108*F108,2)</f>
        <v>33.88</v>
      </c>
    </row>
    <row r="109" spans="1:7" ht="12.75">
      <c r="A109" s="31"/>
      <c r="B109" s="32"/>
      <c r="C109" s="195"/>
      <c r="D109" s="196"/>
      <c r="E109" s="221"/>
      <c r="F109" s="188"/>
      <c r="G109" s="33"/>
    </row>
    <row r="110" spans="1:7" ht="12.75">
      <c r="A110" s="29" t="str">
        <f>'Orçamento Sintético'!A43</f>
        <v>CCU 05.06.001</v>
      </c>
      <c r="B110" s="29" t="str">
        <f>VLOOKUP($A110,'Orçamento Sintético'!$A:$G,2,0)</f>
        <v>05.06.001</v>
      </c>
      <c r="C110" s="30" t="str">
        <f>VLOOKUP($A110,'Orçamento Sintético'!$A:$G,3,0)</f>
        <v>Pintura esmalte sobre tubulações</v>
      </c>
      <c r="D110" s="220" t="str">
        <f>VLOOKUP($A110,'Orçamento Sintético'!$A:$G,4,0)</f>
        <v>m</v>
      </c>
      <c r="E110" s="221"/>
      <c r="F110" s="189"/>
      <c r="G110" s="41">
        <f>SUM(G111:G111)</f>
        <v>12.06</v>
      </c>
    </row>
    <row r="111" spans="1:7" ht="22.5">
      <c r="A111" s="31" t="s">
        <v>169</v>
      </c>
      <c r="B111" s="32"/>
      <c r="C111" s="195" t="str">
        <f>VLOOKUP(A111,Insumos!$A:$D,2,0)</f>
        <v>Pintura esmalte acetinado, duas demãos, sobre superficie metálica</v>
      </c>
      <c r="D111" s="196" t="str">
        <f>VLOOKUP(A111,Insumos!$A:$D,3,0)</f>
        <v>m²</v>
      </c>
      <c r="E111" s="221">
        <f>ROUND(PI()*0.15,4)</f>
        <v>0.4712</v>
      </c>
      <c r="F111" s="188">
        <f>VLOOKUP(A111,Insumos!$A:$D,4,0)</f>
        <v>25.6</v>
      </c>
      <c r="G111" s="33">
        <f>ROUND(E111*F111,2)</f>
        <v>12.06</v>
      </c>
    </row>
    <row r="112" spans="1:7" ht="12.75">
      <c r="A112" s="31"/>
      <c r="B112" s="32"/>
      <c r="C112" s="195"/>
      <c r="D112" s="196"/>
      <c r="E112" s="221"/>
      <c r="F112" s="188"/>
      <c r="G112" s="33"/>
    </row>
    <row r="113" spans="1:7" ht="12.75">
      <c r="A113" s="123" t="str">
        <f>'Orçamento Sintético'!B44</f>
        <v>09.00.000</v>
      </c>
      <c r="B113" s="49" t="str">
        <f>'Orçamento Sintético'!B44</f>
        <v>09.00.000</v>
      </c>
      <c r="C113" s="49" t="str">
        <f>'Orçamento Sintético'!C44</f>
        <v>SERVIÇOS COMPLEMENTARES</v>
      </c>
      <c r="D113" s="48"/>
      <c r="E113" s="50"/>
      <c r="F113" s="51"/>
      <c r="G113" s="51"/>
    </row>
    <row r="114" spans="1:7" ht="12.75">
      <c r="A114" s="140"/>
      <c r="B114" s="35" t="str">
        <f>'Orçamento Sintético'!B45</f>
        <v>09.02.000</v>
      </c>
      <c r="C114" s="36" t="str">
        <f>'Orçamento Sintético'!C45</f>
        <v>Limpeza de obra</v>
      </c>
      <c r="D114" s="35"/>
      <c r="E114" s="37"/>
      <c r="F114" s="42"/>
      <c r="G114" s="39"/>
    </row>
    <row r="115" spans="1:7" ht="12.75">
      <c r="A115" s="29" t="str">
        <f>'Orçamento Sintético'!A46</f>
        <v>CCU09.02.001</v>
      </c>
      <c r="B115" s="29" t="str">
        <f>VLOOKUP($A115,'Orçamento Sintético'!$A:$G,2,0)</f>
        <v>09.02.001</v>
      </c>
      <c r="C115" s="30" t="str">
        <f>VLOOKUP($A115,'Orçamento Sintético'!$A:$G,3,0)</f>
        <v>Limpeza final da obra </v>
      </c>
      <c r="D115" s="220" t="str">
        <f>VLOOKUP($A115,'Orçamento Sintético'!$A:$G,4,0)</f>
        <v>m²</v>
      </c>
      <c r="E115" s="221"/>
      <c r="F115" s="189"/>
      <c r="G115" s="41">
        <f>SUM(G116:G117)</f>
        <v>4.01</v>
      </c>
    </row>
    <row r="116" spans="1:7" ht="22.5">
      <c r="A116" s="31">
        <v>99811</v>
      </c>
      <c r="B116" s="32"/>
      <c r="C116" s="195" t="str">
        <f>VLOOKUP(A116,Insumos!$A:$D,2,0)</f>
        <v>Limpeza de contrapiso com vassoura a seco. AF_04/2019</v>
      </c>
      <c r="D116" s="196" t="str">
        <f>VLOOKUP(A116,Insumos!$A:$D,3,0)</f>
        <v>m²</v>
      </c>
      <c r="E116" s="221">
        <v>1</v>
      </c>
      <c r="F116" s="188">
        <f>VLOOKUP(A116,Insumos!$A:$D,4,0)</f>
        <v>2.6</v>
      </c>
      <c r="G116" s="33">
        <f>ROUND(E116*F116,2)</f>
        <v>2.6</v>
      </c>
    </row>
    <row r="117" spans="1:7" ht="12.75">
      <c r="A117" s="31">
        <v>99814</v>
      </c>
      <c r="B117" s="32"/>
      <c r="C117" s="195" t="str">
        <f>VLOOKUP(A117,Insumos!$A:$D,2,0)</f>
        <v>Limpeza de superfície com jato de alta pressão</v>
      </c>
      <c r="D117" s="196" t="str">
        <f>VLOOKUP(A117,Insumos!$A:$D,3,0)</f>
        <v>m²</v>
      </c>
      <c r="E117" s="221">
        <v>1</v>
      </c>
      <c r="F117" s="188">
        <f>VLOOKUP(A117,Insumos!$A:$D,4,0)</f>
        <v>1.41</v>
      </c>
      <c r="G117" s="33">
        <f>ROUND(E117*F117,2)</f>
        <v>1.41</v>
      </c>
    </row>
  </sheetData>
  <sheetProtection selectLockedCells="1" selectUnlockedCells="1"/>
  <mergeCells count="9">
    <mergeCell ref="A1:E1"/>
    <mergeCell ref="D5:E5"/>
    <mergeCell ref="F5:G5"/>
    <mergeCell ref="A5:B5"/>
    <mergeCell ref="A7:B7"/>
    <mergeCell ref="D7:E7"/>
    <mergeCell ref="F7:G7"/>
    <mergeCell ref="F2:G2"/>
    <mergeCell ref="F3:G3"/>
  </mergeCells>
  <hyperlinks>
    <hyperlink ref="F383" r:id="rId1" display="http://br01.webdms.sika.com/fileshow.do?documentID=49"/>
    <hyperlink ref="F370" r:id="rId2" display="http://br01.webdms.sika.com/fileshow.do?documentID=49"/>
    <hyperlink ref="F581" r:id="rId3" display="http://br01.webdms.sika.com/fileshow.do?documentID=49"/>
    <hyperlink ref="F568" r:id="rId4" display="http://br01.webdms.sika.com/fileshow.do?documentID=49"/>
    <hyperlink ref="E133" r:id="rId5" display="http://br01.webdms.sika.com/fileshow.do?documentID=49"/>
    <hyperlink ref="E120" r:id="rId6" display="http://br01.webdms.sika.com/fileshow.do?documentID=49"/>
    <hyperlink ref="F133" r:id="rId7" display="http://br01.webdms.sika.com/fileshow.do?documentID=49"/>
    <hyperlink ref="F120" r:id="rId8" display="http://br01.webdms.sika.com/fileshow.do?documentID=49"/>
    <hyperlink ref="D133" r:id="rId9" display="http://br01.webdms.sika.com/fileshow.do?documentID=49"/>
    <hyperlink ref="D120" r:id="rId10" display="http://br01.webdms.sika.com/fileshow.do?documentID=49"/>
    <hyperlink ref="F135" r:id="rId11" display="http://br01.webdms.sika.com/fileshow.do?documentID=49"/>
    <hyperlink ref="F122" r:id="rId12" display="http://br01.webdms.sika.com/fileshow.do?documentID=49"/>
    <hyperlink ref="E135" r:id="rId13" display="http://br01.webdms.sika.com/fileshow.do?documentID=49"/>
    <hyperlink ref="E122" r:id="rId14" display="http://br01.webdms.sika.com/fileshow.do?documentID=49"/>
    <hyperlink ref="D135" r:id="rId15" display="http://br01.webdms.sika.com/fileshow.do?documentID=49"/>
    <hyperlink ref="D122" r:id="rId16" display="http://br01.webdms.sika.com/fileshow.do?documentID=49"/>
    <hyperlink ref="F368" r:id="rId17" display="http://br01.webdms.sika.com/fileshow.do?documentID=49"/>
    <hyperlink ref="F355" r:id="rId18" display="http://br01.webdms.sika.com/fileshow.do?documentID=49"/>
    <hyperlink ref="F566" r:id="rId19" display="http://br01.webdms.sika.com/fileshow.do?documentID=49"/>
    <hyperlink ref="F553" r:id="rId20" display="http://br01.webdms.sika.com/fileshow.do?documentID=49"/>
    <hyperlink ref="F338" r:id="rId21" display="http://br01.webdms.sika.com/fileshow.do?documentID=49"/>
    <hyperlink ref="F325" r:id="rId22" display="http://br01.webdms.sika.com/fileshow.do?documentID=49"/>
    <hyperlink ref="F536" r:id="rId23" display="http://br01.webdms.sika.com/fileshow.do?documentID=49"/>
    <hyperlink ref="F523" r:id="rId24" display="http://br01.webdms.sika.com/fileshow.do?documentID=49"/>
    <hyperlink ref="F346" r:id="rId25" display="http://br01.webdms.sika.com/fileshow.do?documentID=49"/>
    <hyperlink ref="F333" r:id="rId26" display="http://br01.webdms.sika.com/fileshow.do?documentID=49"/>
    <hyperlink ref="F544" r:id="rId27" display="http://br01.webdms.sika.com/fileshow.do?documentID=49"/>
    <hyperlink ref="F531" r:id="rId28" display="http://br01.webdms.sika.com/fileshow.do?documentID=49"/>
    <hyperlink ref="F311" r:id="rId29" display="http://br01.webdms.sika.com/fileshow.do?documentID=49"/>
    <hyperlink ref="F298" r:id="rId30" display="http://br01.webdms.sika.com/fileshow.do?documentID=49"/>
    <hyperlink ref="F509" r:id="rId31" display="http://br01.webdms.sika.com/fileshow.do?documentID=49"/>
    <hyperlink ref="F496" r:id="rId32" display="http://br01.webdms.sika.com/fileshow.do?documentID=49"/>
    <hyperlink ref="F364" r:id="rId33" display="http://br01.webdms.sika.com/fileshow.do?documentID=49"/>
    <hyperlink ref="F351" r:id="rId34" display="http://br01.webdms.sika.com/fileshow.do?documentID=49"/>
    <hyperlink ref="F562" r:id="rId35" display="http://br01.webdms.sika.com/fileshow.do?documentID=49"/>
    <hyperlink ref="F549" r:id="rId36" display="http://br01.webdms.sika.com/fileshow.do?documentID=49"/>
    <hyperlink ref="F356" r:id="rId37" display="http://br01.webdms.sika.com/fileshow.do?documentID=49"/>
    <hyperlink ref="F343" r:id="rId38" display="http://br01.webdms.sika.com/fileshow.do?documentID=49"/>
    <hyperlink ref="F554" r:id="rId39" display="http://br01.webdms.sika.com/fileshow.do?documentID=49"/>
    <hyperlink ref="F541" r:id="rId40" display="http://br01.webdms.sika.com/fileshow.do?documentID=49"/>
    <hyperlink ref="F418" r:id="rId41" display="http://br01.webdms.sika.com/fileshow.do?documentID=49"/>
    <hyperlink ref="F405" r:id="rId42" display="http://br01.webdms.sika.com/fileshow.do?documentID=49"/>
    <hyperlink ref="F616" r:id="rId43" display="http://br01.webdms.sika.com/fileshow.do?documentID=49"/>
    <hyperlink ref="F603" r:id="rId44" display="http://br01.webdms.sika.com/fileshow.do?documentID=49"/>
    <hyperlink ref="F424" r:id="rId45" display="http://br01.webdms.sika.com/fileshow.do?documentID=49"/>
    <hyperlink ref="F411" r:id="rId46" display="http://br01.webdms.sika.com/fileshow.do?documentID=49"/>
    <hyperlink ref="F622" r:id="rId47" display="http://br01.webdms.sika.com/fileshow.do?documentID=49"/>
    <hyperlink ref="F609" r:id="rId48" display="http://br01.webdms.sika.com/fileshow.do?documentID=49"/>
    <hyperlink ref="F299" r:id="rId49" display="http://br01.webdms.sika.com/fileshow.do?documentID=49"/>
    <hyperlink ref="F286" r:id="rId50" display="http://br01.webdms.sika.com/fileshow.do?documentID=49"/>
    <hyperlink ref="F497" r:id="rId51" display="http://br01.webdms.sika.com/fileshow.do?documentID=49"/>
    <hyperlink ref="F484" r:id="rId52" display="http://br01.webdms.sika.com/fileshow.do?documentID=49"/>
    <hyperlink ref="F285" r:id="rId53" display="http://br01.webdms.sika.com/fileshow.do?documentID=49"/>
    <hyperlink ref="F483" r:id="rId54" display="http://br01.webdms.sika.com/fileshow.do?documentID=49"/>
    <hyperlink ref="F204" r:id="rId55" display="http://br01.webdms.sika.com/fileshow.do?documentID=49"/>
    <hyperlink ref="F191" r:id="rId56" display="http://br01.webdms.sika.com/fileshow.do?documentID=49"/>
    <hyperlink ref="F402" r:id="rId57" display="http://br01.webdms.sika.com/fileshow.do?documentID=49"/>
    <hyperlink ref="F389" r:id="rId58" display="http://br01.webdms.sika.com/fileshow.do?documentID=49"/>
    <hyperlink ref="F197" r:id="rId59" display="http://br01.webdms.sika.com/fileshow.do?documentID=49"/>
    <hyperlink ref="F184" r:id="rId60" display="http://br01.webdms.sika.com/fileshow.do?documentID=49"/>
    <hyperlink ref="F395" r:id="rId61" display="http://br01.webdms.sika.com/fileshow.do?documentID=49"/>
    <hyperlink ref="F382" r:id="rId62" display="http://br01.webdms.sika.com/fileshow.do?documentID=49"/>
    <hyperlink ref="F42" r:id="rId63" display="http://br01.webdms.sika.com/fileshow.do?documentID=49"/>
    <hyperlink ref="F35" r:id="rId64" display="http://br01.webdms.sika.com/fileshow.do?documentID=49"/>
  </hyperlink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65"/>
  <headerFooter alignWithMargins="0">
    <oddFooter>&amp;L&amp;8&amp;Z&amp;F&amp;R&amp;8Página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53"/>
  <sheetViews>
    <sheetView showGridLines="0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11.7109375" style="138" customWidth="1"/>
    <col min="2" max="2" width="45.7109375" style="138" customWidth="1"/>
    <col min="3" max="3" width="7.7109375" style="137" customWidth="1"/>
    <col min="4" max="4" width="11.7109375" style="139" customWidth="1"/>
    <col min="5" max="6" width="12.7109375" style="127" customWidth="1"/>
    <col min="7" max="16384" width="9.140625" style="127" customWidth="1"/>
  </cols>
  <sheetData>
    <row r="1" spans="1:6" ht="18.75">
      <c r="A1" s="337" t="s">
        <v>5</v>
      </c>
      <c r="B1" s="338"/>
      <c r="C1" s="338"/>
      <c r="D1" s="339"/>
      <c r="E1" s="289" t="s">
        <v>312</v>
      </c>
      <c r="F1" s="257"/>
    </row>
    <row r="2" spans="1:6" ht="12.75">
      <c r="A2" s="200" t="str">
        <f>'Orçamento Sintético'!A2</f>
        <v>Objeto: Recuperação de reservatório de água potável</v>
      </c>
      <c r="B2" s="201"/>
      <c r="C2" s="301"/>
      <c r="D2" s="202"/>
      <c r="E2" s="321">
        <f>'Orçamento Sintético'!F2</f>
        <v>0</v>
      </c>
      <c r="F2" s="322"/>
    </row>
    <row r="3" spans="1:6" ht="12.75">
      <c r="A3" s="203" t="str">
        <f>'Orçamento Sintético'!A3</f>
        <v>Local: Eixo Monumental, Praça do Buriti, lote 02, Brasília-DF</v>
      </c>
      <c r="B3" s="204"/>
      <c r="C3" s="302"/>
      <c r="D3" s="205"/>
      <c r="E3" s="321">
        <f>'Orçamento Sintético'!F3</f>
        <v>0</v>
      </c>
      <c r="F3" s="322"/>
    </row>
    <row r="4" spans="1:6" s="297" customFormat="1" ht="11.25">
      <c r="A4" s="295" t="s">
        <v>305</v>
      </c>
      <c r="B4" s="288" t="s">
        <v>306</v>
      </c>
      <c r="C4" s="286" t="s">
        <v>307</v>
      </c>
      <c r="D4" s="296"/>
      <c r="E4" s="289" t="s">
        <v>308</v>
      </c>
      <c r="F4" s="290"/>
    </row>
    <row r="5" spans="1:6" s="297" customFormat="1" ht="11.25">
      <c r="A5" s="298">
        <f>'Orçamento Sintético'!A5</f>
        <v>0</v>
      </c>
      <c r="B5" s="298">
        <f>'Orçamento Sintético'!C5</f>
        <v>0</v>
      </c>
      <c r="C5" s="317">
        <f>'Orçamento Sintético'!D5</f>
        <v>0</v>
      </c>
      <c r="D5" s="318"/>
      <c r="E5" s="319">
        <f>'CCU''s'!F5</f>
        <v>0</v>
      </c>
      <c r="F5" s="320"/>
    </row>
    <row r="6" spans="1:6" s="128" customFormat="1" ht="11.25">
      <c r="A6" s="295" t="s">
        <v>6</v>
      </c>
      <c r="B6" s="288" t="s">
        <v>309</v>
      </c>
      <c r="C6" s="286" t="s">
        <v>310</v>
      </c>
      <c r="D6" s="287"/>
      <c r="E6" s="289" t="s">
        <v>311</v>
      </c>
      <c r="F6" s="290"/>
    </row>
    <row r="7" spans="1:6" s="128" customFormat="1" ht="11.25">
      <c r="A7" s="312">
        <f>'Orçamento Sintético'!A7</f>
        <v>0</v>
      </c>
      <c r="B7" s="298">
        <f>'Orçamento Sintético'!C7</f>
        <v>0</v>
      </c>
      <c r="C7" s="317">
        <f>'Orçamento Sintético'!D7</f>
        <v>0</v>
      </c>
      <c r="D7" s="318"/>
      <c r="E7" s="319">
        <f>'CCU''s'!F7</f>
        <v>0</v>
      </c>
      <c r="F7" s="320"/>
    </row>
    <row r="8" spans="1:6" s="128" customFormat="1" ht="6.75">
      <c r="A8" s="307"/>
      <c r="B8" s="299"/>
      <c r="C8" s="300"/>
      <c r="D8" s="308"/>
      <c r="E8" s="292"/>
      <c r="F8" s="292"/>
    </row>
    <row r="9" spans="1:6" s="126" customFormat="1" ht="22.5">
      <c r="A9" s="129" t="s">
        <v>51</v>
      </c>
      <c r="B9" s="130" t="s">
        <v>53</v>
      </c>
      <c r="C9" s="130" t="s">
        <v>54</v>
      </c>
      <c r="D9" s="131" t="s">
        <v>7</v>
      </c>
      <c r="E9" s="131" t="s">
        <v>313</v>
      </c>
      <c r="F9" s="131" t="s">
        <v>314</v>
      </c>
    </row>
    <row r="10" spans="1:6" s="126" customFormat="1" ht="11.25">
      <c r="A10" s="243"/>
      <c r="B10" s="132" t="s">
        <v>8</v>
      </c>
      <c r="C10" s="132"/>
      <c r="D10" s="244"/>
      <c r="E10" s="244"/>
      <c r="F10" s="244"/>
    </row>
    <row r="11" spans="1:6" ht="12.75">
      <c r="A11" s="245"/>
      <c r="B11" s="133" t="s">
        <v>9</v>
      </c>
      <c r="C11" s="199"/>
      <c r="D11" s="246"/>
      <c r="E11" s="246"/>
      <c r="F11" s="246"/>
    </row>
    <row r="12" spans="1:6" s="135" customFormat="1" ht="11.25">
      <c r="A12" s="247">
        <v>88243</v>
      </c>
      <c r="B12" s="198" t="s">
        <v>175</v>
      </c>
      <c r="C12" s="134" t="s">
        <v>10</v>
      </c>
      <c r="D12" s="248">
        <v>18.78</v>
      </c>
      <c r="E12" s="311" t="s">
        <v>317</v>
      </c>
      <c r="F12" s="311" t="s">
        <v>317</v>
      </c>
    </row>
    <row r="13" spans="1:6" s="197" customFormat="1" ht="22.5">
      <c r="A13" s="247">
        <v>88248</v>
      </c>
      <c r="B13" s="198" t="s">
        <v>11</v>
      </c>
      <c r="C13" s="134" t="s">
        <v>10</v>
      </c>
      <c r="D13" s="248">
        <v>16.42</v>
      </c>
      <c r="E13" s="311" t="s">
        <v>317</v>
      </c>
      <c r="F13" s="311" t="s">
        <v>317</v>
      </c>
    </row>
    <row r="14" spans="1:6" s="197" customFormat="1" ht="22.5">
      <c r="A14" s="247">
        <v>88267</v>
      </c>
      <c r="B14" s="198" t="s">
        <v>13</v>
      </c>
      <c r="C14" s="134" t="s">
        <v>10</v>
      </c>
      <c r="D14" s="248">
        <v>21.06</v>
      </c>
      <c r="E14" s="311" t="s">
        <v>317</v>
      </c>
      <c r="F14" s="311" t="s">
        <v>317</v>
      </c>
    </row>
    <row r="15" spans="1:6" s="135" customFormat="1" ht="11.25">
      <c r="A15" s="247">
        <v>88270</v>
      </c>
      <c r="B15" s="198" t="s">
        <v>14</v>
      </c>
      <c r="C15" s="134" t="s">
        <v>10</v>
      </c>
      <c r="D15" s="248">
        <v>21.47</v>
      </c>
      <c r="E15" s="311" t="s">
        <v>317</v>
      </c>
      <c r="F15" s="311" t="s">
        <v>317</v>
      </c>
    </row>
    <row r="16" spans="1:6" s="135" customFormat="1" ht="22.5">
      <c r="A16" s="247">
        <v>88277</v>
      </c>
      <c r="B16" s="198" t="s">
        <v>216</v>
      </c>
      <c r="C16" s="134" t="s">
        <v>10</v>
      </c>
      <c r="D16" s="248">
        <v>16.94</v>
      </c>
      <c r="E16" s="311" t="s">
        <v>317</v>
      </c>
      <c r="F16" s="311" t="s">
        <v>317</v>
      </c>
    </row>
    <row r="17" spans="1:6" s="135" customFormat="1" ht="11.25">
      <c r="A17" s="247">
        <v>88309</v>
      </c>
      <c r="B17" s="198" t="s">
        <v>178</v>
      </c>
      <c r="C17" s="134" t="s">
        <v>10</v>
      </c>
      <c r="D17" s="248">
        <v>21.47</v>
      </c>
      <c r="E17" s="311" t="s">
        <v>317</v>
      </c>
      <c r="F17" s="311" t="s">
        <v>317</v>
      </c>
    </row>
    <row r="18" spans="1:6" s="197" customFormat="1" ht="11.25">
      <c r="A18" s="247">
        <v>88316</v>
      </c>
      <c r="B18" s="198" t="s">
        <v>15</v>
      </c>
      <c r="C18" s="134" t="s">
        <v>10</v>
      </c>
      <c r="D18" s="248">
        <v>15.79</v>
      </c>
      <c r="E18" s="311" t="s">
        <v>317</v>
      </c>
      <c r="F18" s="311" t="s">
        <v>317</v>
      </c>
    </row>
    <row r="19" spans="1:6" s="135" customFormat="1" ht="11.25">
      <c r="A19" s="247">
        <v>90778</v>
      </c>
      <c r="B19" s="198" t="s">
        <v>173</v>
      </c>
      <c r="C19" s="134" t="s">
        <v>10</v>
      </c>
      <c r="D19" s="248">
        <v>96</v>
      </c>
      <c r="E19" s="311" t="s">
        <v>317</v>
      </c>
      <c r="F19" s="311" t="s">
        <v>317</v>
      </c>
    </row>
    <row r="20" spans="1:6" s="135" customFormat="1" ht="11.25">
      <c r="A20" s="249"/>
      <c r="B20" s="145" t="s">
        <v>16</v>
      </c>
      <c r="C20" s="136"/>
      <c r="D20" s="250"/>
      <c r="E20" s="250"/>
      <c r="F20" s="250"/>
    </row>
    <row r="21" spans="1:6" ht="12.75">
      <c r="A21" s="247">
        <v>134</v>
      </c>
      <c r="B21" s="198" t="s">
        <v>196</v>
      </c>
      <c r="C21" s="134" t="s">
        <v>17</v>
      </c>
      <c r="D21" s="248">
        <v>1.55</v>
      </c>
      <c r="E21" s="311"/>
      <c r="F21" s="311"/>
    </row>
    <row r="22" spans="1:6" ht="12.75">
      <c r="A22" s="247">
        <v>3768</v>
      </c>
      <c r="B22" s="198" t="s">
        <v>190</v>
      </c>
      <c r="C22" s="134" t="s">
        <v>64</v>
      </c>
      <c r="D22" s="248">
        <v>2.93</v>
      </c>
      <c r="E22" s="311" t="s">
        <v>317</v>
      </c>
      <c r="F22" s="311" t="s">
        <v>317</v>
      </c>
    </row>
    <row r="23" spans="1:6" s="135" customFormat="1" ht="22.5">
      <c r="A23" s="247">
        <v>7693</v>
      </c>
      <c r="B23" s="198" t="s">
        <v>208</v>
      </c>
      <c r="C23" s="134" t="s">
        <v>62</v>
      </c>
      <c r="D23" s="248">
        <v>97.31</v>
      </c>
      <c r="E23" s="311"/>
      <c r="F23" s="311"/>
    </row>
    <row r="24" spans="1:6" ht="22.5">
      <c r="A24" s="247">
        <v>7695</v>
      </c>
      <c r="B24" s="198" t="s">
        <v>209</v>
      </c>
      <c r="C24" s="134" t="s">
        <v>62</v>
      </c>
      <c r="D24" s="248">
        <v>158.01</v>
      </c>
      <c r="E24" s="311"/>
      <c r="F24" s="311"/>
    </row>
    <row r="25" spans="1:6" ht="12.75">
      <c r="A25" s="247">
        <v>12777</v>
      </c>
      <c r="B25" s="198" t="s">
        <v>227</v>
      </c>
      <c r="C25" s="134" t="s">
        <v>64</v>
      </c>
      <c r="D25" s="248">
        <v>2213.23</v>
      </c>
      <c r="E25" s="311"/>
      <c r="F25" s="311"/>
    </row>
    <row r="26" spans="1:6" ht="12.75">
      <c r="A26" s="247">
        <v>142</v>
      </c>
      <c r="B26" s="198" t="s">
        <v>318</v>
      </c>
      <c r="C26" s="134" t="s">
        <v>262</v>
      </c>
      <c r="D26" s="248">
        <v>30.58</v>
      </c>
      <c r="E26" s="311"/>
      <c r="F26" s="311"/>
    </row>
    <row r="27" spans="1:6" s="135" customFormat="1" ht="11.25">
      <c r="A27" s="192"/>
      <c r="B27" s="144" t="s">
        <v>18</v>
      </c>
      <c r="C27" s="134"/>
      <c r="D27" s="248"/>
      <c r="E27" s="248"/>
      <c r="F27" s="248"/>
    </row>
    <row r="28" spans="1:6" s="135" customFormat="1" ht="11.25">
      <c r="A28" s="247">
        <v>40780</v>
      </c>
      <c r="B28" s="198" t="s">
        <v>179</v>
      </c>
      <c r="C28" s="134" t="s">
        <v>61</v>
      </c>
      <c r="D28" s="248">
        <v>9.88</v>
      </c>
      <c r="E28" s="311" t="s">
        <v>317</v>
      </c>
      <c r="F28" s="311" t="s">
        <v>317</v>
      </c>
    </row>
    <row r="29" spans="1:6" s="135" customFormat="1" ht="11.25">
      <c r="A29" s="247">
        <v>72897</v>
      </c>
      <c r="B29" s="198" t="s">
        <v>19</v>
      </c>
      <c r="C29" s="134" t="s">
        <v>63</v>
      </c>
      <c r="D29" s="248">
        <v>19.54</v>
      </c>
      <c r="E29" s="311" t="s">
        <v>317</v>
      </c>
      <c r="F29" s="311" t="s">
        <v>317</v>
      </c>
    </row>
    <row r="30" spans="1:6" s="135" customFormat="1" ht="33.75">
      <c r="A30" s="247">
        <v>94501</v>
      </c>
      <c r="B30" s="198" t="s">
        <v>211</v>
      </c>
      <c r="C30" s="134" t="s">
        <v>64</v>
      </c>
      <c r="D30" s="248">
        <v>472.36</v>
      </c>
      <c r="E30" s="311"/>
      <c r="F30" s="311"/>
    </row>
    <row r="31" spans="1:6" s="135" customFormat="1" ht="22.5">
      <c r="A31" s="247">
        <v>97915</v>
      </c>
      <c r="B31" s="198" t="s">
        <v>176</v>
      </c>
      <c r="C31" s="134" t="s">
        <v>174</v>
      </c>
      <c r="D31" s="248">
        <v>1.14</v>
      </c>
      <c r="E31" s="311" t="s">
        <v>317</v>
      </c>
      <c r="F31" s="311" t="s">
        <v>317</v>
      </c>
    </row>
    <row r="32" spans="1:6" s="135" customFormat="1" ht="11.25">
      <c r="A32" s="247">
        <v>99811</v>
      </c>
      <c r="B32" s="198" t="s">
        <v>200</v>
      </c>
      <c r="C32" s="134" t="s">
        <v>61</v>
      </c>
      <c r="D32" s="248">
        <v>2.6</v>
      </c>
      <c r="E32" s="311" t="s">
        <v>317</v>
      </c>
      <c r="F32" s="311" t="s">
        <v>317</v>
      </c>
    </row>
    <row r="33" spans="1:6" s="135" customFormat="1" ht="11.25">
      <c r="A33" s="247">
        <v>99814</v>
      </c>
      <c r="B33" s="198" t="s">
        <v>187</v>
      </c>
      <c r="C33" s="134" t="s">
        <v>61</v>
      </c>
      <c r="D33" s="248">
        <v>1.41</v>
      </c>
      <c r="E33" s="311" t="s">
        <v>317</v>
      </c>
      <c r="F33" s="311" t="s">
        <v>317</v>
      </c>
    </row>
    <row r="34" spans="1:6" s="135" customFormat="1" ht="22.5">
      <c r="A34" s="247" t="s">
        <v>169</v>
      </c>
      <c r="B34" s="198" t="s">
        <v>170</v>
      </c>
      <c r="C34" s="134" t="s">
        <v>61</v>
      </c>
      <c r="D34" s="248">
        <v>25.6</v>
      </c>
      <c r="E34" s="311"/>
      <c r="F34" s="311"/>
    </row>
    <row r="35" spans="1:6" s="135" customFormat="1" ht="11.25">
      <c r="A35" s="251"/>
      <c r="B35" s="240" t="s">
        <v>23</v>
      </c>
      <c r="C35" s="240"/>
      <c r="D35" s="252"/>
      <c r="E35" s="252"/>
      <c r="F35" s="252"/>
    </row>
    <row r="36" spans="1:6" ht="12.75">
      <c r="A36" s="247" t="s">
        <v>251</v>
      </c>
      <c r="B36" s="198" t="s">
        <v>252</v>
      </c>
      <c r="C36" s="134" t="s">
        <v>64</v>
      </c>
      <c r="D36" s="248">
        <v>403.52</v>
      </c>
      <c r="E36" s="311"/>
      <c r="F36" s="311"/>
    </row>
    <row r="37" spans="1:6" ht="22.5">
      <c r="A37" s="247" t="s">
        <v>217</v>
      </c>
      <c r="B37" s="198" t="s">
        <v>250</v>
      </c>
      <c r="C37" s="134" t="s">
        <v>64</v>
      </c>
      <c r="D37" s="248">
        <v>1186.5</v>
      </c>
      <c r="E37" s="311"/>
      <c r="F37" s="311"/>
    </row>
    <row r="38" spans="1:6" ht="12.75">
      <c r="A38" s="247" t="s">
        <v>220</v>
      </c>
      <c r="B38" s="198" t="s">
        <v>221</v>
      </c>
      <c r="C38" s="134" t="s">
        <v>64</v>
      </c>
      <c r="D38" s="248">
        <v>2940</v>
      </c>
      <c r="E38" s="311"/>
      <c r="F38" s="311"/>
    </row>
    <row r="39" spans="1:6" ht="33.75">
      <c r="A39" s="247" t="s">
        <v>185</v>
      </c>
      <c r="B39" s="198" t="s">
        <v>186</v>
      </c>
      <c r="C39" s="134" t="s">
        <v>17</v>
      </c>
      <c r="D39" s="248">
        <v>2.33</v>
      </c>
      <c r="E39" s="311"/>
      <c r="F39" s="311"/>
    </row>
    <row r="40" spans="1:6" ht="22.5">
      <c r="A40" s="247" t="s">
        <v>202</v>
      </c>
      <c r="B40" s="198" t="s">
        <v>201</v>
      </c>
      <c r="C40" s="134" t="s">
        <v>64</v>
      </c>
      <c r="D40" s="248">
        <v>149.17</v>
      </c>
      <c r="E40" s="311"/>
      <c r="F40" s="311"/>
    </row>
    <row r="41" spans="1:6" ht="12.75">
      <c r="A41" s="247" t="s">
        <v>218</v>
      </c>
      <c r="B41" s="198" t="s">
        <v>219</v>
      </c>
      <c r="C41" s="134" t="s">
        <v>64</v>
      </c>
      <c r="D41" s="248">
        <v>3255</v>
      </c>
      <c r="E41" s="311"/>
      <c r="F41" s="311"/>
    </row>
    <row r="42" spans="1:6" ht="12.75">
      <c r="A42" s="247" t="s">
        <v>222</v>
      </c>
      <c r="B42" s="198" t="s">
        <v>223</v>
      </c>
      <c r="C42" s="134" t="s">
        <v>64</v>
      </c>
      <c r="D42" s="248">
        <v>1522.5</v>
      </c>
      <c r="E42" s="311"/>
      <c r="F42" s="311"/>
    </row>
    <row r="43" spans="1:6" ht="12.75">
      <c r="A43" s="247" t="s">
        <v>225</v>
      </c>
      <c r="B43" s="198" t="s">
        <v>249</v>
      </c>
      <c r="C43" s="134" t="s">
        <v>64</v>
      </c>
      <c r="D43" s="248">
        <v>439.95</v>
      </c>
      <c r="E43" s="311"/>
      <c r="F43" s="311"/>
    </row>
    <row r="44" spans="1:6" ht="12.75">
      <c r="A44" s="247" t="s">
        <v>226</v>
      </c>
      <c r="B44" s="198" t="s">
        <v>230</v>
      </c>
      <c r="C44" s="134" t="s">
        <v>64</v>
      </c>
      <c r="D44" s="248">
        <v>86.49</v>
      </c>
      <c r="E44" s="311" t="s">
        <v>317</v>
      </c>
      <c r="F44" s="311" t="s">
        <v>317</v>
      </c>
    </row>
    <row r="45" spans="1:6" ht="12.75">
      <c r="A45" s="247" t="s">
        <v>228</v>
      </c>
      <c r="B45" s="198" t="s">
        <v>229</v>
      </c>
      <c r="C45" s="134" t="s">
        <v>64</v>
      </c>
      <c r="D45" s="248">
        <v>60.2</v>
      </c>
      <c r="E45" s="311" t="s">
        <v>317</v>
      </c>
      <c r="F45" s="311" t="s">
        <v>317</v>
      </c>
    </row>
    <row r="46" spans="1:6" ht="12.75">
      <c r="A46" s="247" t="s">
        <v>232</v>
      </c>
      <c r="B46" s="198" t="s">
        <v>231</v>
      </c>
      <c r="C46" s="134" t="s">
        <v>64</v>
      </c>
      <c r="D46" s="248">
        <v>187.46</v>
      </c>
      <c r="E46" s="311" t="s">
        <v>317</v>
      </c>
      <c r="F46" s="311" t="s">
        <v>317</v>
      </c>
    </row>
    <row r="47" spans="1:6" ht="12.75">
      <c r="A47" s="247" t="s">
        <v>233</v>
      </c>
      <c r="B47" s="198" t="s">
        <v>237</v>
      </c>
      <c r="C47" s="134" t="s">
        <v>64</v>
      </c>
      <c r="D47" s="248">
        <v>39.53</v>
      </c>
      <c r="E47" s="311" t="s">
        <v>317</v>
      </c>
      <c r="F47" s="311" t="s">
        <v>317</v>
      </c>
    </row>
    <row r="48" spans="1:6" ht="12.75">
      <c r="A48" s="247" t="s">
        <v>234</v>
      </c>
      <c r="B48" s="198" t="s">
        <v>236</v>
      </c>
      <c r="C48" s="134" t="s">
        <v>64</v>
      </c>
      <c r="D48" s="248">
        <v>36.52</v>
      </c>
      <c r="E48" s="311" t="s">
        <v>317</v>
      </c>
      <c r="F48" s="311" t="s">
        <v>317</v>
      </c>
    </row>
    <row r="49" spans="1:6" ht="12.75">
      <c r="A49" s="247" t="s">
        <v>235</v>
      </c>
      <c r="B49" s="198" t="s">
        <v>238</v>
      </c>
      <c r="C49" s="134" t="s">
        <v>64</v>
      </c>
      <c r="D49" s="248">
        <v>14</v>
      </c>
      <c r="E49" s="311" t="s">
        <v>317</v>
      </c>
      <c r="F49" s="311" t="s">
        <v>317</v>
      </c>
    </row>
    <row r="50" spans="1:6" ht="12.75">
      <c r="A50" s="247" t="s">
        <v>181</v>
      </c>
      <c r="B50" s="198" t="s">
        <v>182</v>
      </c>
      <c r="C50" s="134" t="s">
        <v>61</v>
      </c>
      <c r="D50" s="248">
        <v>2.2</v>
      </c>
      <c r="E50" s="311"/>
      <c r="F50" s="311"/>
    </row>
    <row r="51" spans="1:6" ht="22.5">
      <c r="A51" s="247" t="s">
        <v>239</v>
      </c>
      <c r="B51" s="198" t="s">
        <v>240</v>
      </c>
      <c r="C51" s="134" t="s">
        <v>64</v>
      </c>
      <c r="D51" s="248">
        <v>2275.38</v>
      </c>
      <c r="E51" s="311"/>
      <c r="F51" s="311"/>
    </row>
    <row r="52" spans="1:6" ht="22.5">
      <c r="A52" s="247" t="s">
        <v>20</v>
      </c>
      <c r="B52" s="198" t="s">
        <v>24</v>
      </c>
      <c r="C52" s="134" t="s">
        <v>64</v>
      </c>
      <c r="D52" s="248">
        <v>226.5</v>
      </c>
      <c r="E52" s="311" t="s">
        <v>317</v>
      </c>
      <c r="F52" s="311" t="s">
        <v>317</v>
      </c>
    </row>
    <row r="53" spans="1:6" ht="33.75">
      <c r="A53" s="247" t="s">
        <v>183</v>
      </c>
      <c r="B53" s="198" t="s">
        <v>184</v>
      </c>
      <c r="C53" s="134" t="s">
        <v>17</v>
      </c>
      <c r="D53" s="248">
        <v>6.89</v>
      </c>
      <c r="E53" s="311"/>
      <c r="F53" s="311"/>
    </row>
  </sheetData>
  <sheetProtection selectLockedCells="1" selectUnlockedCells="1"/>
  <mergeCells count="7">
    <mergeCell ref="A1:D1"/>
    <mergeCell ref="C7:D7"/>
    <mergeCell ref="E7:F7"/>
    <mergeCell ref="E2:F2"/>
    <mergeCell ref="E3:F3"/>
    <mergeCell ref="C5:D5"/>
    <mergeCell ref="E5:F5"/>
  </mergeCells>
  <hyperlinks>
    <hyperlink ref="D125" r:id="rId1" display="http://br01.webdms.sika.com/fileshow.do?documentID=49"/>
    <hyperlink ref="D112" r:id="rId2" display="http://br01.webdms.sika.com/fileshow.do?documentID=49"/>
    <hyperlink ref="D127" r:id="rId3" display="http://br01.webdms.sika.com/fileshow.do?documentID=49"/>
    <hyperlink ref="D114" r:id="rId4" display="http://br01.webdms.sika.com/fileshow.do?documentID=49"/>
    <hyperlink ref="D111" r:id="rId5" display="http://br01.webdms.sika.com/fileshow.do?documentID=49"/>
    <hyperlink ref="D98" r:id="rId6" display="http://br01.webdms.sika.com/fileshow.do?documentID=49"/>
    <hyperlink ref="D113" r:id="rId7" display="http://br01.webdms.sika.com/fileshow.do?documentID=49"/>
    <hyperlink ref="D100" r:id="rId8" display="http://br01.webdms.sika.com/fileshow.do?documentID=49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D30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421875" defaultRowHeight="12.75"/>
  <cols>
    <col min="1" max="1" width="12.7109375" style="5" customWidth="1"/>
    <col min="2" max="2" width="59.7109375" style="6" customWidth="1"/>
    <col min="3" max="3" width="10.7109375" style="6" customWidth="1"/>
    <col min="4" max="4" width="11.7109375" style="7" customWidth="1"/>
    <col min="5" max="16384" width="9.421875" style="8" customWidth="1"/>
  </cols>
  <sheetData>
    <row r="1" spans="1:4" ht="18.75">
      <c r="A1" s="329" t="s">
        <v>92</v>
      </c>
      <c r="B1" s="331"/>
      <c r="C1" s="289" t="s">
        <v>312</v>
      </c>
      <c r="D1" s="68"/>
    </row>
    <row r="2" spans="1:4" s="70" customFormat="1" ht="11.25">
      <c r="A2" s="57" t="str">
        <f>'Orçamento Sintético'!A2</f>
        <v>Objeto: Recuperação de reservatório de água potável</v>
      </c>
      <c r="B2" s="59"/>
      <c r="C2" s="321">
        <f>'Orçamento Sintético'!F2</f>
        <v>0</v>
      </c>
      <c r="D2" s="322"/>
    </row>
    <row r="3" spans="1:4" s="70" customFormat="1" ht="11.25">
      <c r="A3" s="62" t="str">
        <f>'Orçamento Sintético'!A3</f>
        <v>Local: Eixo Monumental, Praça do Buriti, lote 02, Brasília-DF</v>
      </c>
      <c r="B3" s="64"/>
      <c r="C3" s="321">
        <f>'Orçamento Sintético'!F3</f>
        <v>0</v>
      </c>
      <c r="D3" s="322"/>
    </row>
    <row r="4" spans="1:4" s="70" customFormat="1" ht="11.25" customHeight="1">
      <c r="A4" s="295" t="s">
        <v>305</v>
      </c>
      <c r="B4" s="288" t="s">
        <v>306</v>
      </c>
      <c r="C4" s="286" t="s">
        <v>307</v>
      </c>
      <c r="D4" s="295" t="s">
        <v>308</v>
      </c>
    </row>
    <row r="5" spans="1:4" s="70" customFormat="1" ht="11.25" customHeight="1">
      <c r="A5" s="298">
        <f>'Orçamento Sintético'!A5</f>
        <v>0</v>
      </c>
      <c r="B5" s="298">
        <f>'Orçamento Sintético'!C5</f>
        <v>0</v>
      </c>
      <c r="C5" s="294">
        <f>'Orçamento Sintético'!D5</f>
        <v>0</v>
      </c>
      <c r="D5" s="298">
        <f>'Orçamento Sintético'!F5</f>
        <v>0</v>
      </c>
    </row>
    <row r="6" spans="1:4" s="71" customFormat="1" ht="11.25">
      <c r="A6" s="295" t="s">
        <v>6</v>
      </c>
      <c r="B6" s="288" t="s">
        <v>309</v>
      </c>
      <c r="C6" s="286" t="s">
        <v>310</v>
      </c>
      <c r="D6" s="295" t="s">
        <v>311</v>
      </c>
    </row>
    <row r="7" spans="1:4" s="71" customFormat="1" ht="11.25">
      <c r="A7" s="312">
        <f>'Orçamento Sintético'!A7</f>
        <v>0</v>
      </c>
      <c r="B7" s="298">
        <f>'Orçamento Sintético'!C7</f>
        <v>0</v>
      </c>
      <c r="C7" s="294">
        <f>'Orçamento Sintético'!D7</f>
        <v>0</v>
      </c>
      <c r="D7" s="298">
        <f>'Orçamento Sintético'!F7</f>
        <v>0</v>
      </c>
    </row>
    <row r="8" spans="1:4" s="71" customFormat="1" ht="6.75">
      <c r="A8" s="303"/>
      <c r="B8" s="304"/>
      <c r="C8" s="305"/>
      <c r="D8" s="306"/>
    </row>
    <row r="9" spans="1:4" ht="12.75">
      <c r="A9" s="9" t="s">
        <v>52</v>
      </c>
      <c r="B9" s="340" t="s">
        <v>93</v>
      </c>
      <c r="C9" s="341"/>
      <c r="D9" s="9" t="s">
        <v>94</v>
      </c>
    </row>
    <row r="10" spans="1:4" ht="12.75">
      <c r="A10" s="102"/>
      <c r="B10" s="103"/>
      <c r="C10" s="103"/>
      <c r="D10" s="104"/>
    </row>
    <row r="11" spans="1:4" ht="12.75">
      <c r="A11" s="105" t="s">
        <v>95</v>
      </c>
      <c r="B11" s="106" t="s">
        <v>96</v>
      </c>
      <c r="C11" s="106"/>
      <c r="D11" s="107"/>
    </row>
    <row r="12" spans="1:4" ht="12.75">
      <c r="A12" s="108"/>
      <c r="B12" s="106"/>
      <c r="C12" s="106"/>
      <c r="D12" s="107"/>
    </row>
    <row r="13" spans="1:4" s="10" customFormat="1" ht="12.75">
      <c r="A13" s="105" t="s">
        <v>97</v>
      </c>
      <c r="B13" s="109" t="s">
        <v>98</v>
      </c>
      <c r="C13" s="109"/>
      <c r="D13" s="110">
        <f>ROUND(SUM(D15:D19),4)</f>
        <v>0.1574</v>
      </c>
    </row>
    <row r="14" spans="1:4" ht="12.75">
      <c r="A14" s="108"/>
      <c r="B14" s="106"/>
      <c r="C14" s="106"/>
      <c r="D14" s="111"/>
    </row>
    <row r="15" spans="1:4" ht="12.75">
      <c r="A15" s="112" t="s">
        <v>99</v>
      </c>
      <c r="B15" s="113" t="s">
        <v>101</v>
      </c>
      <c r="C15" s="113"/>
      <c r="D15" s="114">
        <v>0.04</v>
      </c>
    </row>
    <row r="16" spans="1:4" ht="12.75">
      <c r="A16" s="112" t="s">
        <v>100</v>
      </c>
      <c r="B16" s="115" t="s">
        <v>156</v>
      </c>
      <c r="C16" s="115"/>
      <c r="D16" s="114">
        <v>0.008</v>
      </c>
    </row>
    <row r="17" spans="1:4" ht="12.75">
      <c r="A17" s="112" t="s">
        <v>102</v>
      </c>
      <c r="B17" s="113" t="s">
        <v>157</v>
      </c>
      <c r="C17" s="113"/>
      <c r="D17" s="114">
        <v>0.0127</v>
      </c>
    </row>
    <row r="18" spans="1:4" ht="12.75">
      <c r="A18" s="112" t="s">
        <v>103</v>
      </c>
      <c r="B18" s="113" t="s">
        <v>158</v>
      </c>
      <c r="C18" s="113"/>
      <c r="D18" s="114">
        <v>0.0123</v>
      </c>
    </row>
    <row r="19" spans="1:4" ht="12.75">
      <c r="A19" s="112" t="s">
        <v>159</v>
      </c>
      <c r="B19" s="106" t="s">
        <v>104</v>
      </c>
      <c r="C19" s="106"/>
      <c r="D19" s="114">
        <v>0.0844</v>
      </c>
    </row>
    <row r="20" spans="1:4" ht="12.75">
      <c r="A20" s="108"/>
      <c r="B20" s="113"/>
      <c r="C20" s="113"/>
      <c r="D20" s="111"/>
    </row>
    <row r="21" spans="1:4" ht="12.75">
      <c r="A21" s="105" t="s">
        <v>105</v>
      </c>
      <c r="B21" s="106" t="s">
        <v>106</v>
      </c>
      <c r="C21" s="106"/>
      <c r="D21" s="111"/>
    </row>
    <row r="22" spans="1:4" ht="12.75">
      <c r="A22" s="108"/>
      <c r="B22" s="106"/>
      <c r="C22" s="106"/>
      <c r="D22" s="111"/>
    </row>
    <row r="23" spans="1:4" s="10" customFormat="1" ht="12.75">
      <c r="A23" s="105" t="s">
        <v>107</v>
      </c>
      <c r="B23" s="109" t="s">
        <v>108</v>
      </c>
      <c r="C23" s="109"/>
      <c r="D23" s="116">
        <f>SUM(D25:D27)</f>
        <v>0.0365</v>
      </c>
    </row>
    <row r="24" spans="1:4" s="10" customFormat="1" ht="12.75">
      <c r="A24" s="108"/>
      <c r="B24" s="106"/>
      <c r="C24" s="106"/>
      <c r="D24" s="111"/>
    </row>
    <row r="25" spans="1:4" s="10" customFormat="1" ht="12.75">
      <c r="A25" s="108"/>
      <c r="B25" s="106" t="s">
        <v>109</v>
      </c>
      <c r="C25" s="106"/>
      <c r="D25" s="114">
        <v>0.006500000000000001</v>
      </c>
    </row>
    <row r="26" spans="1:4" s="10" customFormat="1" ht="12.75">
      <c r="A26" s="108"/>
      <c r="B26" s="106" t="s">
        <v>110</v>
      </c>
      <c r="C26" s="106"/>
      <c r="D26" s="117">
        <v>0.03</v>
      </c>
    </row>
    <row r="27" spans="1:4" s="10" customFormat="1" ht="22.5">
      <c r="A27" s="108"/>
      <c r="B27" s="118" t="s">
        <v>155</v>
      </c>
      <c r="C27" s="118"/>
      <c r="D27" s="117">
        <f>ROUND(2%*'Orçamento Sintético'!A52,4)</f>
        <v>0</v>
      </c>
    </row>
    <row r="28" spans="1:4" s="10" customFormat="1" ht="12.75">
      <c r="A28" s="108"/>
      <c r="B28" s="106"/>
      <c r="C28" s="106"/>
      <c r="D28" s="119"/>
    </row>
    <row r="29" spans="1:4" s="10" customFormat="1" ht="12.75">
      <c r="A29" s="105" t="s">
        <v>68</v>
      </c>
      <c r="B29" s="106" t="s">
        <v>160</v>
      </c>
      <c r="C29" s="106"/>
      <c r="D29" s="110">
        <f>ROUND((((1+(D15+D16+D17))*(1+D18)*(1+D19))/(1-D23)-1),4)</f>
        <v>0.2085</v>
      </c>
    </row>
    <row r="30" spans="1:4" s="10" customFormat="1" ht="12.75">
      <c r="A30" s="120"/>
      <c r="B30" s="121"/>
      <c r="C30" s="121"/>
      <c r="D30" s="122"/>
    </row>
  </sheetData>
  <sheetProtection selectLockedCells="1" selectUnlockedCells="1"/>
  <mergeCells count="4">
    <mergeCell ref="B9:C9"/>
    <mergeCell ref="A1:B1"/>
    <mergeCell ref="C2:D2"/>
    <mergeCell ref="C3:D3"/>
  </mergeCell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1"/>
  <headerFooter alignWithMargins="0">
    <oddFooter>&amp;L&amp;8&amp;Z&amp;F&amp;R&amp;8Página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D45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2.7109375" style="5" customWidth="1"/>
    <col min="2" max="2" width="59.7109375" style="6" customWidth="1"/>
    <col min="3" max="3" width="10.7109375" style="6" customWidth="1"/>
    <col min="4" max="4" width="11.7109375" style="7" customWidth="1"/>
    <col min="5" max="5" width="6.7109375" style="5" customWidth="1"/>
    <col min="6" max="16384" width="9.140625" style="8" customWidth="1"/>
  </cols>
  <sheetData>
    <row r="1" spans="1:4" s="76" customFormat="1" ht="18.75">
      <c r="A1" s="329" t="s">
        <v>111</v>
      </c>
      <c r="B1" s="331"/>
      <c r="C1" s="289" t="s">
        <v>312</v>
      </c>
      <c r="D1" s="68"/>
    </row>
    <row r="2" spans="1:4" s="76" customFormat="1" ht="11.25">
      <c r="A2" s="57" t="str">
        <f>'Orçamento Sintético'!A2</f>
        <v>Objeto: Recuperação de reservatório de água potável</v>
      </c>
      <c r="B2" s="59"/>
      <c r="C2" s="321">
        <f>'Orçamento Sintético'!F2</f>
        <v>0</v>
      </c>
      <c r="D2" s="322"/>
    </row>
    <row r="3" spans="1:4" s="76" customFormat="1" ht="11.25">
      <c r="A3" s="62" t="str">
        <f>'Orçamento Sintético'!A3</f>
        <v>Local: Eixo Monumental, Praça do Buriti, lote 02, Brasília-DF</v>
      </c>
      <c r="B3" s="64"/>
      <c r="C3" s="321">
        <f>'Orçamento Sintético'!F3</f>
        <v>0</v>
      </c>
      <c r="D3" s="322"/>
    </row>
    <row r="4" spans="1:4" s="70" customFormat="1" ht="11.25" customHeight="1">
      <c r="A4" s="295" t="s">
        <v>305</v>
      </c>
      <c r="B4" s="288" t="s">
        <v>306</v>
      </c>
      <c r="C4" s="286" t="s">
        <v>307</v>
      </c>
      <c r="D4" s="295" t="s">
        <v>308</v>
      </c>
    </row>
    <row r="5" spans="1:4" s="70" customFormat="1" ht="11.25" customHeight="1">
      <c r="A5" s="298">
        <f>'Orçamento Sintético'!A5</f>
        <v>0</v>
      </c>
      <c r="B5" s="298">
        <f>'Orçamento Sintético'!C5</f>
        <v>0</v>
      </c>
      <c r="C5" s="294">
        <f>'Orçamento Sintético'!D5</f>
        <v>0</v>
      </c>
      <c r="D5" s="298">
        <f>'Orçamento Sintético'!F5</f>
        <v>0</v>
      </c>
    </row>
    <row r="6" spans="1:4" s="71" customFormat="1" ht="11.25">
      <c r="A6" s="295" t="s">
        <v>6</v>
      </c>
      <c r="B6" s="288" t="s">
        <v>309</v>
      </c>
      <c r="C6" s="286" t="s">
        <v>310</v>
      </c>
      <c r="D6" s="295" t="s">
        <v>311</v>
      </c>
    </row>
    <row r="7" spans="1:4" s="71" customFormat="1" ht="11.25">
      <c r="A7" s="312">
        <f>'Orçamento Sintético'!A7</f>
        <v>0</v>
      </c>
      <c r="B7" s="298">
        <f>'Orçamento Sintético'!C7</f>
        <v>0</v>
      </c>
      <c r="C7" s="294">
        <f>'Orçamento Sintético'!D7</f>
        <v>0</v>
      </c>
      <c r="D7" s="298">
        <f>'Orçamento Sintético'!F7</f>
        <v>0</v>
      </c>
    </row>
    <row r="8" spans="1:4" s="71" customFormat="1" ht="6.75">
      <c r="A8" s="303"/>
      <c r="B8" s="304"/>
      <c r="C8" s="305"/>
      <c r="D8" s="306"/>
    </row>
    <row r="9" spans="1:4" ht="12.75">
      <c r="A9" s="9" t="s">
        <v>112</v>
      </c>
      <c r="B9" s="340" t="s">
        <v>53</v>
      </c>
      <c r="C9" s="341"/>
      <c r="D9" s="9" t="s">
        <v>94</v>
      </c>
    </row>
    <row r="10" spans="1:4" ht="12.75" customHeight="1">
      <c r="A10" s="344" t="s">
        <v>113</v>
      </c>
      <c r="B10" s="344"/>
      <c r="C10" s="344"/>
      <c r="D10" s="344"/>
    </row>
    <row r="11" spans="1:4" ht="12.75">
      <c r="A11" s="13" t="s">
        <v>97</v>
      </c>
      <c r="B11" s="77" t="s">
        <v>114</v>
      </c>
      <c r="C11" s="81"/>
      <c r="D11" s="14">
        <v>0.2</v>
      </c>
    </row>
    <row r="12" spans="1:4" ht="12.75">
      <c r="A12" s="11" t="s">
        <v>115</v>
      </c>
      <c r="B12" s="72" t="s">
        <v>116</v>
      </c>
      <c r="C12" s="73"/>
      <c r="D12" s="12">
        <v>0.015</v>
      </c>
    </row>
    <row r="13" spans="1:4" ht="12.75">
      <c r="A13" s="11" t="s">
        <v>117</v>
      </c>
      <c r="B13" s="72" t="s">
        <v>118</v>
      </c>
      <c r="C13" s="73"/>
      <c r="D13" s="12">
        <v>0.01</v>
      </c>
    </row>
    <row r="14" spans="1:4" ht="12.75">
      <c r="A14" s="11" t="s">
        <v>119</v>
      </c>
      <c r="B14" s="72" t="s">
        <v>120</v>
      </c>
      <c r="C14" s="73"/>
      <c r="D14" s="12">
        <v>0.002</v>
      </c>
    </row>
    <row r="15" spans="1:4" ht="12.75">
      <c r="A15" s="11" t="s">
        <v>121</v>
      </c>
      <c r="B15" s="72" t="s">
        <v>122</v>
      </c>
      <c r="C15" s="73"/>
      <c r="D15" s="12">
        <v>0.006</v>
      </c>
    </row>
    <row r="16" spans="1:4" ht="12.75">
      <c r="A16" s="11" t="s">
        <v>123</v>
      </c>
      <c r="B16" s="74" t="s">
        <v>124</v>
      </c>
      <c r="C16" s="75"/>
      <c r="D16" s="12">
        <v>0.025</v>
      </c>
    </row>
    <row r="17" spans="1:4" ht="12.75">
      <c r="A17" s="11" t="s">
        <v>125</v>
      </c>
      <c r="B17" s="78" t="s">
        <v>126</v>
      </c>
      <c r="C17" s="82"/>
      <c r="D17" s="12">
        <v>0.03</v>
      </c>
    </row>
    <row r="18" spans="1:4" ht="12.75">
      <c r="A18" s="11" t="s">
        <v>127</v>
      </c>
      <c r="B18" s="74" t="s">
        <v>128</v>
      </c>
      <c r="C18" s="75"/>
      <c r="D18" s="12">
        <v>0.08</v>
      </c>
    </row>
    <row r="19" spans="1:4" ht="12.75">
      <c r="A19" s="15" t="s">
        <v>129</v>
      </c>
      <c r="B19" s="79" t="s">
        <v>130</v>
      </c>
      <c r="C19" s="83"/>
      <c r="D19" s="16">
        <v>0.01</v>
      </c>
    </row>
    <row r="20" spans="1:4" ht="12.75">
      <c r="A20" s="17" t="s">
        <v>131</v>
      </c>
      <c r="B20" s="80" t="s">
        <v>132</v>
      </c>
      <c r="C20" s="84"/>
      <c r="D20" s="18">
        <f>SUM(D11:D19)</f>
        <v>0.37800000000000006</v>
      </c>
    </row>
    <row r="21" spans="1:4" ht="12.75" customHeight="1">
      <c r="A21" s="345" t="s">
        <v>133</v>
      </c>
      <c r="B21" s="345"/>
      <c r="C21" s="345"/>
      <c r="D21" s="345"/>
    </row>
    <row r="22" spans="1:4" ht="12.75">
      <c r="A22" s="13" t="s">
        <v>107</v>
      </c>
      <c r="B22" s="77" t="s">
        <v>134</v>
      </c>
      <c r="C22" s="81"/>
      <c r="D22" s="14">
        <v>0.1776</v>
      </c>
    </row>
    <row r="23" spans="1:4" ht="12.75">
      <c r="A23" s="11" t="s">
        <v>135</v>
      </c>
      <c r="B23" s="72" t="s">
        <v>136</v>
      </c>
      <c r="C23" s="73"/>
      <c r="D23" s="12">
        <v>0.0341</v>
      </c>
    </row>
    <row r="24" spans="1:4" ht="12.75">
      <c r="A24" s="11" t="s">
        <v>137</v>
      </c>
      <c r="B24" s="72" t="s">
        <v>138</v>
      </c>
      <c r="C24" s="73"/>
      <c r="D24" s="12">
        <v>0.009</v>
      </c>
    </row>
    <row r="25" spans="1:4" ht="12.75">
      <c r="A25" s="11" t="s">
        <v>139</v>
      </c>
      <c r="B25" s="72" t="s">
        <v>140</v>
      </c>
      <c r="C25" s="73"/>
      <c r="D25" s="12">
        <v>0.106</v>
      </c>
    </row>
    <row r="26" spans="1:4" ht="12.75">
      <c r="A26" s="11" t="s">
        <v>141</v>
      </c>
      <c r="B26" s="72" t="s">
        <v>142</v>
      </c>
      <c r="C26" s="73"/>
      <c r="D26" s="12">
        <v>0.0007</v>
      </c>
    </row>
    <row r="27" spans="1:4" ht="12.75">
      <c r="A27" s="11" t="s">
        <v>143</v>
      </c>
      <c r="B27" s="72" t="s">
        <v>144</v>
      </c>
      <c r="C27" s="73"/>
      <c r="D27" s="12">
        <v>0.0071</v>
      </c>
    </row>
    <row r="28" spans="1:4" ht="12.75">
      <c r="A28" s="11" t="s">
        <v>145</v>
      </c>
      <c r="B28" s="72" t="s">
        <v>146</v>
      </c>
      <c r="C28" s="73"/>
      <c r="D28" s="12">
        <v>0.0131</v>
      </c>
    </row>
    <row r="29" spans="1:4" ht="12.75">
      <c r="A29" s="11" t="s">
        <v>147</v>
      </c>
      <c r="B29" s="92" t="s">
        <v>148</v>
      </c>
      <c r="C29" s="85"/>
      <c r="D29" s="12">
        <v>0.0011</v>
      </c>
    </row>
    <row r="30" spans="1:4" ht="12.75">
      <c r="A30" s="11" t="s">
        <v>149</v>
      </c>
      <c r="B30" s="92" t="s">
        <v>150</v>
      </c>
      <c r="C30" s="85"/>
      <c r="D30" s="12">
        <v>0.1257</v>
      </c>
    </row>
    <row r="31" spans="1:4" ht="12.75">
      <c r="A31" s="15" t="s">
        <v>151</v>
      </c>
      <c r="B31" s="93" t="s">
        <v>152</v>
      </c>
      <c r="C31" s="86"/>
      <c r="D31" s="16">
        <v>0.0003</v>
      </c>
    </row>
    <row r="32" spans="1:4" ht="12.75">
      <c r="A32" s="17" t="s">
        <v>25</v>
      </c>
      <c r="B32" s="80" t="s">
        <v>26</v>
      </c>
      <c r="C32" s="84"/>
      <c r="D32" s="18">
        <f>SUM(D22:D31)</f>
        <v>0.47469999999999996</v>
      </c>
    </row>
    <row r="33" spans="1:4" ht="12.75" customHeight="1">
      <c r="A33" s="345" t="s">
        <v>27</v>
      </c>
      <c r="B33" s="345"/>
      <c r="C33" s="345"/>
      <c r="D33" s="345"/>
    </row>
    <row r="34" spans="1:4" ht="12.75">
      <c r="A34" s="13" t="s">
        <v>28</v>
      </c>
      <c r="B34" s="77" t="s">
        <v>29</v>
      </c>
      <c r="C34" s="81"/>
      <c r="D34" s="14">
        <v>0.0394</v>
      </c>
    </row>
    <row r="35" spans="1:4" ht="12.75">
      <c r="A35" s="11" t="s">
        <v>30</v>
      </c>
      <c r="B35" s="72" t="s">
        <v>31</v>
      </c>
      <c r="C35" s="73"/>
      <c r="D35" s="12">
        <v>0.0009</v>
      </c>
    </row>
    <row r="36" spans="1:4" ht="12.75">
      <c r="A36" s="11" t="s">
        <v>32</v>
      </c>
      <c r="B36" s="72" t="s">
        <v>33</v>
      </c>
      <c r="C36" s="73"/>
      <c r="D36" s="12">
        <v>0.0133</v>
      </c>
    </row>
    <row r="37" spans="1:4" ht="12.75">
      <c r="A37" s="11" t="s">
        <v>34</v>
      </c>
      <c r="B37" s="72" t="s">
        <v>35</v>
      </c>
      <c r="C37" s="73"/>
      <c r="D37" s="12">
        <v>0.0484</v>
      </c>
    </row>
    <row r="38" spans="1:4" ht="12.75">
      <c r="A38" s="15" t="s">
        <v>36</v>
      </c>
      <c r="B38" s="79" t="s">
        <v>37</v>
      </c>
      <c r="C38" s="83"/>
      <c r="D38" s="16">
        <v>0.0033</v>
      </c>
    </row>
    <row r="39" spans="1:4" ht="12.75">
      <c r="A39" s="17" t="s">
        <v>38</v>
      </c>
      <c r="B39" s="80" t="s">
        <v>26</v>
      </c>
      <c r="C39" s="84"/>
      <c r="D39" s="18">
        <f>SUM(D34:D38)</f>
        <v>0.10529999999999999</v>
      </c>
    </row>
    <row r="40" spans="1:4" ht="12.75" customHeight="1">
      <c r="A40" s="345" t="s">
        <v>39</v>
      </c>
      <c r="B40" s="345"/>
      <c r="C40" s="345"/>
      <c r="D40" s="345"/>
    </row>
    <row r="41" spans="1:4" ht="12.75">
      <c r="A41" s="13" t="s">
        <v>40</v>
      </c>
      <c r="B41" s="77" t="s">
        <v>41</v>
      </c>
      <c r="C41" s="81"/>
      <c r="D41" s="14">
        <f>ROUND(D20*D32,4)</f>
        <v>0.1794</v>
      </c>
    </row>
    <row r="42" spans="1:4" ht="12.75">
      <c r="A42" s="15" t="s">
        <v>42</v>
      </c>
      <c r="B42" s="79" t="s">
        <v>43</v>
      </c>
      <c r="C42" s="83"/>
      <c r="D42" s="16">
        <f>ROUND(D18*D34+D20*D35,4)</f>
        <v>0.0035</v>
      </c>
    </row>
    <row r="43" spans="1:4" ht="12.75">
      <c r="A43" s="17" t="s">
        <v>44</v>
      </c>
      <c r="B43" s="80" t="s">
        <v>45</v>
      </c>
      <c r="C43" s="84"/>
      <c r="D43" s="18">
        <f>SUM(D41:D42)</f>
        <v>0.1829</v>
      </c>
    </row>
    <row r="44" spans="1:4" ht="12.75">
      <c r="A44" s="11"/>
      <c r="B44" s="79"/>
      <c r="C44" s="83"/>
      <c r="D44" s="12"/>
    </row>
    <row r="45" spans="1:4" ht="12.75" customHeight="1">
      <c r="A45" s="342" t="s">
        <v>46</v>
      </c>
      <c r="B45" s="343"/>
      <c r="C45" s="87"/>
      <c r="D45" s="19">
        <f>D20+D32+D39+D43</f>
        <v>1.1409</v>
      </c>
    </row>
  </sheetData>
  <sheetProtection selectLockedCells="1" selectUnlockedCells="1"/>
  <mergeCells count="9">
    <mergeCell ref="A1:B1"/>
    <mergeCell ref="B9:C9"/>
    <mergeCell ref="A40:D40"/>
    <mergeCell ref="C2:D2"/>
    <mergeCell ref="C3:D3"/>
    <mergeCell ref="A45:B45"/>
    <mergeCell ref="A10:D10"/>
    <mergeCell ref="A21:D21"/>
    <mergeCell ref="A33:D33"/>
  </mergeCell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1"/>
  <headerFooter alignWithMargins="0">
    <oddFooter>&amp;L&amp;8&amp;Z&amp;F&amp;R&amp;8Página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12.7109375" style="1" customWidth="1"/>
    <col min="2" max="2" width="35.7109375" style="1" customWidth="1"/>
    <col min="3" max="3" width="12.7109375" style="1" customWidth="1"/>
    <col min="4" max="4" width="9.7109375" style="1" customWidth="1"/>
    <col min="5" max="5" width="11.421875" style="2" customWidth="1"/>
    <col min="6" max="6" width="13.140625" style="2" bestFit="1" customWidth="1"/>
    <col min="7" max="16384" width="9.140625" style="3" customWidth="1"/>
  </cols>
  <sheetData>
    <row r="1" spans="1:6" ht="18.75">
      <c r="A1" s="329" t="s">
        <v>47</v>
      </c>
      <c r="B1" s="330"/>
      <c r="C1" s="330"/>
      <c r="D1" s="331"/>
      <c r="E1" s="147"/>
      <c r="F1" s="88"/>
    </row>
    <row r="2" spans="1:6" s="52" customFormat="1" ht="11.25">
      <c r="A2" s="57" t="str">
        <f>'Orçamento Sintético'!A2</f>
        <v>Objeto: Recuperação de reservatório de água potável</v>
      </c>
      <c r="B2" s="59"/>
      <c r="C2" s="146"/>
      <c r="D2" s="69"/>
      <c r="E2" s="61"/>
      <c r="F2" s="60"/>
    </row>
    <row r="3" spans="1:6" s="52" customFormat="1" ht="11.25">
      <c r="A3" s="62" t="str">
        <f>'Orçamento Sintético'!A3</f>
        <v>Local: Eixo Monumental, Praça do Buriti, lote 02, Brasília-DF</v>
      </c>
      <c r="B3" s="64"/>
      <c r="C3" s="65"/>
      <c r="D3" s="66"/>
      <c r="E3" s="148"/>
      <c r="F3" s="89"/>
    </row>
    <row r="4" spans="1:6" s="70" customFormat="1" ht="11.25" customHeight="1">
      <c r="A4" s="295" t="s">
        <v>305</v>
      </c>
      <c r="B4" s="288" t="s">
        <v>306</v>
      </c>
      <c r="C4" s="286" t="s">
        <v>307</v>
      </c>
      <c r="D4" s="295" t="s">
        <v>308</v>
      </c>
      <c r="E4" s="289" t="s">
        <v>315</v>
      </c>
      <c r="F4" s="309"/>
    </row>
    <row r="5" spans="1:6" s="70" customFormat="1" ht="11.25" customHeight="1">
      <c r="A5" s="298">
        <f>'Orçamento Sintético'!A5</f>
        <v>0</v>
      </c>
      <c r="B5" s="298">
        <f>'Orçamento Sintético'!C5</f>
        <v>0</v>
      </c>
      <c r="C5" s="298">
        <f>'Orçamento Sintético'!D5</f>
        <v>0</v>
      </c>
      <c r="D5" s="298">
        <f>'Orçamento Sintético'!F5</f>
        <v>0</v>
      </c>
      <c r="E5" s="346">
        <f>'Orçamento Sintético'!F2</f>
        <v>0</v>
      </c>
      <c r="F5" s="347"/>
    </row>
    <row r="6" spans="1:6" s="71" customFormat="1" ht="11.25">
      <c r="A6" s="295" t="s">
        <v>6</v>
      </c>
      <c r="B6" s="288" t="s">
        <v>309</v>
      </c>
      <c r="C6" s="286" t="s">
        <v>310</v>
      </c>
      <c r="D6" s="295" t="s">
        <v>311</v>
      </c>
      <c r="E6" s="289" t="s">
        <v>316</v>
      </c>
      <c r="F6" s="310"/>
    </row>
    <row r="7" spans="1:6" s="71" customFormat="1" ht="11.25">
      <c r="A7" s="312">
        <f>'Orçamento Sintético'!A7</f>
        <v>0</v>
      </c>
      <c r="B7" s="298">
        <f>'Orçamento Sintético'!C7</f>
        <v>0</v>
      </c>
      <c r="C7" s="298">
        <f>'Orçamento Sintético'!D7</f>
        <v>0</v>
      </c>
      <c r="D7" s="298">
        <f>'Orçamento Sintético'!F7</f>
        <v>0</v>
      </c>
      <c r="E7" s="346">
        <f>'Orçamento Sintético'!F3</f>
        <v>0</v>
      </c>
      <c r="F7" s="347"/>
    </row>
    <row r="8" spans="1:6" s="67" customFormat="1" ht="6.75">
      <c r="A8" s="90"/>
      <c r="B8" s="90"/>
      <c r="C8" s="90"/>
      <c r="D8" s="90"/>
      <c r="E8" s="90"/>
      <c r="F8" s="90"/>
    </row>
    <row r="9" spans="1:6" ht="12.75" customHeight="1">
      <c r="A9" s="359" t="s">
        <v>52</v>
      </c>
      <c r="B9" s="359" t="s">
        <v>53</v>
      </c>
      <c r="C9" s="359" t="s">
        <v>162</v>
      </c>
      <c r="D9" s="357" t="s">
        <v>94</v>
      </c>
      <c r="E9" s="367" t="s">
        <v>161</v>
      </c>
      <c r="F9" s="368"/>
    </row>
    <row r="10" spans="1:6" ht="12.75" customHeight="1">
      <c r="A10" s="360"/>
      <c r="B10" s="360"/>
      <c r="C10" s="360"/>
      <c r="D10" s="358"/>
      <c r="E10" s="91" t="s">
        <v>163</v>
      </c>
      <c r="F10" s="91" t="s">
        <v>164</v>
      </c>
    </row>
    <row r="11" spans="1:6" ht="12.75">
      <c r="A11" s="349" t="str">
        <f>'Orçamento Sintético'!B10</f>
        <v>01.00.000</v>
      </c>
      <c r="B11" s="351" t="str">
        <f>VLOOKUP(A11,'Orçamento Sintético'!$B:$G,2,0)</f>
        <v>SERVIÇOS TÉCNICOS-PROFISSIONAIS</v>
      </c>
      <c r="C11" s="365">
        <f>ROUND(VLOOKUP(A11,'Orçamento Sintético'!$B:$G,6,0)*(1+'Orçamento Sintético'!$A$53),2)</f>
        <v>273.73</v>
      </c>
      <c r="D11" s="370">
        <f>ROUND(C11/C$37,5)</f>
        <v>0.00385</v>
      </c>
      <c r="E11" s="97">
        <f>E13</f>
        <v>273.73</v>
      </c>
      <c r="F11" s="97">
        <f>ROUND($C11-(SUM($E11:E11)),2)</f>
        <v>0</v>
      </c>
    </row>
    <row r="12" spans="1:6" ht="12.75">
      <c r="A12" s="349"/>
      <c r="B12" s="351"/>
      <c r="C12" s="372"/>
      <c r="D12" s="371"/>
      <c r="E12" s="98">
        <f>ROUND(E11/$C11,4)</f>
        <v>1</v>
      </c>
      <c r="F12" s="149">
        <f>ROUND(F11/$C11,4)</f>
        <v>0</v>
      </c>
    </row>
    <row r="13" spans="1:6" ht="12.75">
      <c r="A13" s="352" t="str">
        <f>'Orçamento Sintético'!B11</f>
        <v>01.08.000</v>
      </c>
      <c r="B13" s="354" t="str">
        <f>VLOOKUP(A13,'Orçamento Sintético'!$B:$G,2,0)</f>
        <v>TAXAS E EMOLUMENTOS</v>
      </c>
      <c r="C13" s="361">
        <f>ROUND(VLOOKUP(A13,'Orçamento Sintético'!$B:$G,6,0)*(1+'Orçamento Sintético'!$A$53),2)</f>
        <v>273.73</v>
      </c>
      <c r="D13" s="355">
        <f>ROUND(C13/C$37,5)</f>
        <v>0.00385</v>
      </c>
      <c r="E13" s="94">
        <f>ROUND($C13*E14,2)</f>
        <v>273.73</v>
      </c>
      <c r="F13" s="94">
        <f>ROUND($C13-(SUM($E13:E13)),2)</f>
        <v>0</v>
      </c>
    </row>
    <row r="14" spans="1:6" ht="12.75">
      <c r="A14" s="352"/>
      <c r="B14" s="354"/>
      <c r="C14" s="362"/>
      <c r="D14" s="356"/>
      <c r="E14" s="95">
        <v>1</v>
      </c>
      <c r="F14" s="96">
        <f>ROUND(F13/$C13,4)</f>
        <v>0</v>
      </c>
    </row>
    <row r="15" spans="1:6" ht="12.75">
      <c r="A15" s="349" t="str">
        <f>'Orçamento Sintético'!B13</f>
        <v>02.00.000</v>
      </c>
      <c r="B15" s="363" t="str">
        <f>VLOOKUP(A15,'Orçamento Sintético'!$B:$G,2,0)</f>
        <v>SERVIÇOS PRELIMINARES</v>
      </c>
      <c r="C15" s="365">
        <f>ROUND(VLOOKUP(A15,'Orçamento Sintético'!$B:$G,6,0)*(1+'Orçamento Sintético'!$A$53),2)</f>
        <v>3170.74</v>
      </c>
      <c r="D15" s="370">
        <f>ROUND(C15/C$37,5)</f>
        <v>0.04459</v>
      </c>
      <c r="E15" s="97">
        <f>E17</f>
        <v>634.15</v>
      </c>
      <c r="F15" s="97">
        <f>ROUND($C15-(SUM($E15:E15)),2)</f>
        <v>2536.59</v>
      </c>
    </row>
    <row r="16" spans="1:6" ht="12.75">
      <c r="A16" s="350"/>
      <c r="B16" s="364"/>
      <c r="C16" s="366"/>
      <c r="D16" s="356"/>
      <c r="E16" s="98">
        <f>ROUND(E15/$C15,4)</f>
        <v>0.2</v>
      </c>
      <c r="F16" s="149">
        <f>ROUND(F15/$C15,4)</f>
        <v>0.8</v>
      </c>
    </row>
    <row r="17" spans="1:6" ht="12.75" customHeight="1">
      <c r="A17" s="352" t="str">
        <f>'Orçamento Sintético'!B15</f>
        <v>02.02.300</v>
      </c>
      <c r="B17" s="354" t="str">
        <f>VLOOKUP(A17,'Orçamento Sintético'!$B:$G,2,0)</f>
        <v>Remoções</v>
      </c>
      <c r="C17" s="361">
        <f>ROUND(VLOOKUP(A17,'Orçamento Sintético'!$B:$G,6,0)*(1+'Orçamento Sintético'!$A$53),2)</f>
        <v>3170.74</v>
      </c>
      <c r="D17" s="355">
        <f>ROUND(C17/C$37,5)</f>
        <v>0.04459</v>
      </c>
      <c r="E17" s="94">
        <f>ROUND($C17*E18,2)</f>
        <v>634.15</v>
      </c>
      <c r="F17" s="94">
        <f>ROUND($C17-(SUM($E17:E17)),2)</f>
        <v>2536.59</v>
      </c>
    </row>
    <row r="18" spans="1:6" ht="12.75">
      <c r="A18" s="353"/>
      <c r="B18" s="354"/>
      <c r="C18" s="362"/>
      <c r="D18" s="356"/>
      <c r="E18" s="95">
        <v>0.2</v>
      </c>
      <c r="F18" s="96">
        <f>ROUND(F17/$C17,4)</f>
        <v>0.8</v>
      </c>
    </row>
    <row r="19" spans="1:6" ht="12.75">
      <c r="A19" s="349" t="str">
        <f>'Orçamento Sintético'!B20</f>
        <v>04.00.000</v>
      </c>
      <c r="B19" s="351" t="str">
        <f>VLOOKUP(A19,'Orçamento Sintético'!$B:$G,2,0)</f>
        <v>ARQUITETURA E ELEMENTOS DE URBANISMO</v>
      </c>
      <c r="C19" s="365">
        <f>ROUND(VLOOKUP(A19,'Orçamento Sintético'!$B:$G,6,0)*(1+'Orçamento Sintético'!$A$53),2)</f>
        <v>24772.38</v>
      </c>
      <c r="D19" s="370">
        <f>ROUND(C19/C$37,5)</f>
        <v>0.3484</v>
      </c>
      <c r="E19" s="97">
        <f>E21</f>
        <v>0</v>
      </c>
      <c r="F19" s="97">
        <f>ROUND($C19-(SUM($E19:E19)),2)</f>
        <v>24772.38</v>
      </c>
    </row>
    <row r="20" spans="1:6" ht="12.75">
      <c r="A20" s="350"/>
      <c r="B20" s="351"/>
      <c r="C20" s="369"/>
      <c r="D20" s="356"/>
      <c r="E20" s="98">
        <f>ROUND(E19/$C19,4)</f>
        <v>0</v>
      </c>
      <c r="F20" s="149">
        <f>ROUND(F19/$C19,4)</f>
        <v>1</v>
      </c>
    </row>
    <row r="21" spans="1:6" ht="12.75" customHeight="1">
      <c r="A21" s="352" t="str">
        <f>'Orçamento Sintético'!B22</f>
        <v>04.01.500</v>
      </c>
      <c r="B21" s="354" t="str">
        <f>VLOOKUP(A21,'Orçamento Sintético'!$B:$G,2,0)</f>
        <v>Revestimentos</v>
      </c>
      <c r="C21" s="361">
        <f>ROUND(VLOOKUP(A21,'Orçamento Sintético'!$B:$G,6,0)*(1+'Orçamento Sintético'!$A$53),2)</f>
        <v>1821.19</v>
      </c>
      <c r="D21" s="355">
        <f>ROUND(C21/C$37,5)</f>
        <v>0.02561</v>
      </c>
      <c r="E21" s="94">
        <f>ROUND($C21*E22,2)</f>
        <v>0</v>
      </c>
      <c r="F21" s="94">
        <f>ROUND($C21-(SUM($E21:E21)),2)</f>
        <v>1821.19</v>
      </c>
    </row>
    <row r="22" spans="1:6" ht="12.75">
      <c r="A22" s="353"/>
      <c r="B22" s="354"/>
      <c r="C22" s="369"/>
      <c r="D22" s="356"/>
      <c r="E22" s="95"/>
      <c r="F22" s="96">
        <f>ROUND(F21/$C21,4)</f>
        <v>1</v>
      </c>
    </row>
    <row r="23" spans="1:6" ht="12.75">
      <c r="A23" s="352" t="str">
        <f>'Orçamento Sintético'!B25</f>
        <v>04.01.600</v>
      </c>
      <c r="B23" s="354" t="str">
        <f>VLOOKUP(A23,'Orçamento Sintético'!$B:$G,2,0)</f>
        <v>Impermeabilizações</v>
      </c>
      <c r="C23" s="361">
        <f>ROUND(VLOOKUP(A23,'Orçamento Sintético'!$B:$G,6,0)*(1+'Orçamento Sintético'!$A$53),2)</f>
        <v>22951.19</v>
      </c>
      <c r="D23" s="355">
        <f>ROUND(C23/C$37,5)</f>
        <v>0.32279</v>
      </c>
      <c r="E23" s="94">
        <f>ROUND($C23*E24,2)</f>
        <v>12393.64</v>
      </c>
      <c r="F23" s="94">
        <f>ROUND($C23-(SUM($E23:E23)),2)</f>
        <v>10557.55</v>
      </c>
    </row>
    <row r="24" spans="1:6" ht="12.75">
      <c r="A24" s="353"/>
      <c r="B24" s="354"/>
      <c r="C24" s="369"/>
      <c r="D24" s="356"/>
      <c r="E24" s="95">
        <v>0.54</v>
      </c>
      <c r="F24" s="96">
        <f>ROUND(F23/$C23,4)</f>
        <v>0.46</v>
      </c>
    </row>
    <row r="25" spans="1:6" ht="12.75">
      <c r="A25" s="349" t="str">
        <f>'Orçamento Sintético'!B30</f>
        <v>05.00.000</v>
      </c>
      <c r="B25" s="351" t="str">
        <f>VLOOKUP(A25,'Orçamento Sintético'!$B:$G,2,0)</f>
        <v>INSTALAÇÕES HIDRÁULICAS E SANITÁRIAS</v>
      </c>
      <c r="C25" s="365">
        <f>ROUND(VLOOKUP(A25,'Orçamento Sintético'!$B:$G,6,0)*(1+'Orçamento Sintético'!$A$53),2)</f>
        <v>38486.81</v>
      </c>
      <c r="D25" s="370">
        <f>ROUND(C25/C$37,5)</f>
        <v>0.54128</v>
      </c>
      <c r="E25" s="97">
        <f>E27</f>
        <v>26899.96</v>
      </c>
      <c r="F25" s="97">
        <f>ROUND($C25-(SUM($E25:E25)),2)</f>
        <v>11586.85</v>
      </c>
    </row>
    <row r="26" spans="1:6" ht="12.75">
      <c r="A26" s="350"/>
      <c r="B26" s="351"/>
      <c r="C26" s="369"/>
      <c r="D26" s="356"/>
      <c r="E26" s="98">
        <f>ROUND(E25/$C25,4)</f>
        <v>0.6989</v>
      </c>
      <c r="F26" s="149">
        <f>ROUND(F25/$C25,4)</f>
        <v>0.3011</v>
      </c>
    </row>
    <row r="27" spans="1:6" ht="12.75" customHeight="1">
      <c r="A27" s="352" t="str">
        <f>'Orçamento Sintético'!B32</f>
        <v>05.03.100</v>
      </c>
      <c r="B27" s="354" t="str">
        <f>VLOOKUP(A27,'Orçamento Sintético'!$B:$G,2,0)</f>
        <v>Tubulações e Conexões de Ferro Fundido</v>
      </c>
      <c r="C27" s="361">
        <f>ROUND(VLOOKUP(A27,'Orçamento Sintético'!$B:$G,6,0)*(1+'Orçamento Sintético'!$A$53),2)</f>
        <v>38428.51</v>
      </c>
      <c r="D27" s="355">
        <f>ROUND(C27/C$37,5)</f>
        <v>0.54046</v>
      </c>
      <c r="E27" s="94">
        <f>ROUND($C27*E28,2)</f>
        <v>26899.96</v>
      </c>
      <c r="F27" s="94">
        <f>ROUND($C27-(SUM($E27:E27)),2)</f>
        <v>11528.55</v>
      </c>
    </row>
    <row r="28" spans="1:6" ht="12.75">
      <c r="A28" s="353"/>
      <c r="B28" s="354"/>
      <c r="C28" s="369"/>
      <c r="D28" s="356"/>
      <c r="E28" s="95">
        <v>0.7</v>
      </c>
      <c r="F28" s="96">
        <f>ROUND(F27/$C27,4)</f>
        <v>0.3</v>
      </c>
    </row>
    <row r="29" spans="1:6" ht="12.75">
      <c r="A29" s="349" t="str">
        <f>'Orçamento Sintético'!B44</f>
        <v>09.00.000</v>
      </c>
      <c r="B29" s="351" t="str">
        <f>VLOOKUP(A29,'Orçamento Sintético'!$B:$G,2,0)</f>
        <v>SERVIÇOS COMPLEMENTARES</v>
      </c>
      <c r="C29" s="365">
        <f>ROUND(VLOOKUP(A29,'Orçamento Sintético'!$B:$G,6,0)*(1+'Orçamento Sintético'!$A$53),2)</f>
        <v>339.23</v>
      </c>
      <c r="D29" s="370">
        <f>ROUND(C29/C$37,5)</f>
        <v>0.00477</v>
      </c>
      <c r="E29" s="97">
        <f>+E31</f>
        <v>101.77</v>
      </c>
      <c r="F29" s="97">
        <f>ROUND($C29-(SUM($E29:E29)),2)</f>
        <v>237.46</v>
      </c>
    </row>
    <row r="30" spans="1:6" ht="12.75">
      <c r="A30" s="350"/>
      <c r="B30" s="351"/>
      <c r="C30" s="369"/>
      <c r="D30" s="356"/>
      <c r="E30" s="98">
        <f>ROUND(E29/$C29,4)</f>
        <v>0.3</v>
      </c>
      <c r="F30" s="149">
        <f>ROUND(F29/$C29,4)</f>
        <v>0.7</v>
      </c>
    </row>
    <row r="31" spans="1:6" ht="12.75">
      <c r="A31" s="352" t="str">
        <f>'Orçamento Sintético'!B45</f>
        <v>09.02.000</v>
      </c>
      <c r="B31" s="354" t="str">
        <f>VLOOKUP(A31,'Orçamento Sintético'!$B:$G,2,0)</f>
        <v>Limpeza de obra</v>
      </c>
      <c r="C31" s="361">
        <f>ROUND(VLOOKUP(A31,'Orçamento Sintético'!$B:$G,6,0)*(1+'Orçamento Sintético'!$A$53),2)</f>
        <v>339.23</v>
      </c>
      <c r="D31" s="355">
        <f>ROUND(C31/C$37,5)</f>
        <v>0.00477</v>
      </c>
      <c r="E31" s="94">
        <f>ROUND($C31*E32,2)</f>
        <v>101.77</v>
      </c>
      <c r="F31" s="94">
        <f>ROUND($C31-(SUM($E31:E31)),2)</f>
        <v>237.46</v>
      </c>
    </row>
    <row r="32" spans="1:6" ht="12.75">
      <c r="A32" s="353"/>
      <c r="B32" s="354"/>
      <c r="C32" s="369"/>
      <c r="D32" s="356"/>
      <c r="E32" s="95">
        <v>0.3</v>
      </c>
      <c r="F32" s="96">
        <f>ROUND(F31/$C31,4)</f>
        <v>0.7</v>
      </c>
    </row>
    <row r="33" spans="1:6" ht="12.75">
      <c r="A33" s="349" t="str">
        <f>'Orçamento Sintético'!B47</f>
        <v>10.00.000</v>
      </c>
      <c r="B33" s="351" t="str">
        <f>VLOOKUP(A33,'Orçamento Sintético'!$B:$G,2,0)</f>
        <v>SERVIÇOS AUXILIARES E ADMNISTRATIVOS</v>
      </c>
      <c r="C33" s="365">
        <f>ROUND(VLOOKUP(A33,'Orçamento Sintético'!$B:$G,6,0)*(1+'Orçamento Sintético'!$A$53),2)</f>
        <v>4060.56</v>
      </c>
      <c r="D33" s="370">
        <f>ROUND(C33/C$37,5)</f>
        <v>0.05711</v>
      </c>
      <c r="E33" s="97">
        <f>E35</f>
        <v>1690.39</v>
      </c>
      <c r="F33" s="97">
        <f>ROUND($C33-(SUM($E33:E33)),2)</f>
        <v>2370.17</v>
      </c>
    </row>
    <row r="34" spans="1:6" ht="12.75">
      <c r="A34" s="350"/>
      <c r="B34" s="351"/>
      <c r="C34" s="369"/>
      <c r="D34" s="356"/>
      <c r="E34" s="98">
        <f>ROUND(E33/$C33,4)</f>
        <v>0.4163</v>
      </c>
      <c r="F34" s="149">
        <f>ROUND(F33/$C33,4)</f>
        <v>0.5837</v>
      </c>
    </row>
    <row r="35" spans="1:6" ht="12.75">
      <c r="A35" s="352" t="str">
        <f>'Orçamento Sintético'!B48</f>
        <v>10.01.000</v>
      </c>
      <c r="B35" s="354" t="str">
        <f>VLOOKUP(A35,'Orçamento Sintético'!$B:$G,2,0)</f>
        <v>Pessoal</v>
      </c>
      <c r="C35" s="361">
        <f>ROUND(VLOOKUP(A35,'Orçamento Sintético'!$B:$G,6,0)*(1+'Orçamento Sintético'!$A$53),2)</f>
        <v>4060.56</v>
      </c>
      <c r="D35" s="355">
        <f>ROUND(C35/C$37,5)</f>
        <v>0.05711</v>
      </c>
      <c r="E35" s="94">
        <f>ROUND(E42*$C35/$D43,2)</f>
        <v>1690.39</v>
      </c>
      <c r="F35" s="94">
        <f>ROUND($C35-(SUM($E35:E35)),2)</f>
        <v>2370.17</v>
      </c>
    </row>
    <row r="36" spans="1:6" ht="12.75">
      <c r="A36" s="353"/>
      <c r="B36" s="354"/>
      <c r="C36" s="369"/>
      <c r="D36" s="356"/>
      <c r="E36" s="95">
        <f>ROUND(E35/$C35,4)</f>
        <v>0.4163</v>
      </c>
      <c r="F36" s="96">
        <f>ROUND(F35/$C35,4)</f>
        <v>0.5837</v>
      </c>
    </row>
    <row r="37" spans="1:6" ht="12.75" customHeight="1">
      <c r="A37" s="348" t="s">
        <v>48</v>
      </c>
      <c r="B37" s="20" t="s">
        <v>49</v>
      </c>
      <c r="C37" s="21">
        <f>'Orçamento Sintético'!G54</f>
        <v>71103.43999999999</v>
      </c>
      <c r="D37" s="22"/>
      <c r="E37" s="99">
        <f>ROUND(E11+E15+E19+E25+E29+E33,2)</f>
        <v>29600</v>
      </c>
      <c r="F37" s="99">
        <f>ROUND(F11+F15+F19+F25+F29+F33,2)</f>
        <v>41503.45</v>
      </c>
    </row>
    <row r="38" spans="1:6" ht="12.75" customHeight="1">
      <c r="A38" s="348"/>
      <c r="B38" s="23" t="s">
        <v>94</v>
      </c>
      <c r="C38" s="24"/>
      <c r="D38" s="25">
        <f>ROUND(SUM(D11:D35)/2,4)</f>
        <v>0.9996</v>
      </c>
      <c r="E38" s="100">
        <f>ROUND(E37/$C37,5)</f>
        <v>0.41629</v>
      </c>
      <c r="F38" s="100">
        <f>ROUND(F37/$C37,5)</f>
        <v>0.58371</v>
      </c>
    </row>
    <row r="39" spans="1:6" ht="12.75" customHeight="1">
      <c r="A39" s="348" t="s">
        <v>50</v>
      </c>
      <c r="B39" s="20" t="s">
        <v>49</v>
      </c>
      <c r="C39" s="26"/>
      <c r="D39" s="22"/>
      <c r="E39" s="99">
        <f>E37</f>
        <v>29600</v>
      </c>
      <c r="F39" s="99">
        <f>F37+E39</f>
        <v>71103.45</v>
      </c>
    </row>
    <row r="40" spans="1:6" ht="12.75">
      <c r="A40" s="348"/>
      <c r="B40" s="23" t="s">
        <v>94</v>
      </c>
      <c r="C40" s="24"/>
      <c r="D40" s="27"/>
      <c r="E40" s="101">
        <f>ROUND(E39/$C37,5)</f>
        <v>0.41629</v>
      </c>
      <c r="F40" s="101">
        <f>ROUND(F39/$C37,5)</f>
        <v>1</v>
      </c>
    </row>
    <row r="42" spans="5:6" ht="12.75">
      <c r="E42" s="2">
        <f>E11+E15+E19+E25+E29</f>
        <v>27909.61</v>
      </c>
      <c r="F42" s="2">
        <f>F11+F15+F19+F25+F29</f>
        <v>39133.28</v>
      </c>
    </row>
    <row r="43" spans="3:6" ht="12.75">
      <c r="C43" s="142" t="s">
        <v>22</v>
      </c>
      <c r="D43" s="2">
        <f>C37-C33</f>
        <v>67042.87999999999</v>
      </c>
      <c r="E43" s="25">
        <f>E42/$D$43</f>
        <v>0.41629491453827766</v>
      </c>
      <c r="F43" s="25">
        <f>F42/$D$43</f>
        <v>0.5837052346199926</v>
      </c>
    </row>
  </sheetData>
  <sheetProtection selectLockedCells="1" selectUnlockedCells="1"/>
  <mergeCells count="62">
    <mergeCell ref="C27:C28"/>
    <mergeCell ref="B27:B28"/>
    <mergeCell ref="A27:A28"/>
    <mergeCell ref="D21:D22"/>
    <mergeCell ref="B25:B26"/>
    <mergeCell ref="D27:D28"/>
    <mergeCell ref="D25:D26"/>
    <mergeCell ref="D23:D24"/>
    <mergeCell ref="C19:C20"/>
    <mergeCell ref="A21:A22"/>
    <mergeCell ref="A25:A26"/>
    <mergeCell ref="B21:B22"/>
    <mergeCell ref="A19:A20"/>
    <mergeCell ref="B19:B20"/>
    <mergeCell ref="A23:A24"/>
    <mergeCell ref="B23:B24"/>
    <mergeCell ref="C23:C24"/>
    <mergeCell ref="B31:B32"/>
    <mergeCell ref="A29:A30"/>
    <mergeCell ref="B29:B30"/>
    <mergeCell ref="A31:A32"/>
    <mergeCell ref="D35:D36"/>
    <mergeCell ref="C31:C32"/>
    <mergeCell ref="D31:D32"/>
    <mergeCell ref="C33:C34"/>
    <mergeCell ref="C35:C36"/>
    <mergeCell ref="D33:D34"/>
    <mergeCell ref="E9:F9"/>
    <mergeCell ref="C29:C30"/>
    <mergeCell ref="C25:C26"/>
    <mergeCell ref="C21:C22"/>
    <mergeCell ref="D11:D12"/>
    <mergeCell ref="D29:D30"/>
    <mergeCell ref="D19:D20"/>
    <mergeCell ref="D17:D18"/>
    <mergeCell ref="C11:C12"/>
    <mergeCell ref="D15:D16"/>
    <mergeCell ref="A11:A12"/>
    <mergeCell ref="A13:A14"/>
    <mergeCell ref="A17:A18"/>
    <mergeCell ref="C13:C14"/>
    <mergeCell ref="A15:A16"/>
    <mergeCell ref="B15:B16"/>
    <mergeCell ref="B13:B14"/>
    <mergeCell ref="C17:C18"/>
    <mergeCell ref="C15:C16"/>
    <mergeCell ref="B17:B18"/>
    <mergeCell ref="A1:D1"/>
    <mergeCell ref="D9:D10"/>
    <mergeCell ref="C9:C10"/>
    <mergeCell ref="A9:A10"/>
    <mergeCell ref="B9:B10"/>
    <mergeCell ref="E5:F5"/>
    <mergeCell ref="E7:F7"/>
    <mergeCell ref="A39:A40"/>
    <mergeCell ref="A33:A34"/>
    <mergeCell ref="B33:B34"/>
    <mergeCell ref="A37:A38"/>
    <mergeCell ref="A35:A36"/>
    <mergeCell ref="B35:B36"/>
    <mergeCell ref="D13:D14"/>
    <mergeCell ref="B11:B12"/>
  </mergeCells>
  <conditionalFormatting sqref="E37:F40">
    <cfRule type="cellIs" priority="1" dxfId="3" operator="notEqual" stopIfTrue="1">
      <formula>0</formula>
    </cfRule>
    <cfRule type="cellIs" priority="2" dxfId="2" operator="equal" stopIfTrue="1">
      <formula>0</formula>
    </cfRule>
  </conditionalFormatting>
  <conditionalFormatting sqref="E35:F36 E31:F32 E27:F28 E13:F14 E17:F18 E21:F24">
    <cfRule type="cellIs" priority="3" dxfId="1" operator="notEqual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85" r:id="rId2"/>
  <headerFooter alignWithMargins="0">
    <oddFooter>&amp;L&amp;8&amp;Z&amp;F&amp;R&amp;8Página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marli</cp:lastModifiedBy>
  <cp:lastPrinted>2019-07-16T18:50:00Z</cp:lastPrinted>
  <dcterms:created xsi:type="dcterms:W3CDTF">2014-10-13T18:48:08Z</dcterms:created>
  <dcterms:modified xsi:type="dcterms:W3CDTF">2019-07-30T19:27:19Z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