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1"/>
  </bookViews>
  <sheets>
    <sheet name="Instruções" sheetId="1" r:id="rId1"/>
    <sheet name="Orçamento Sintético" sheetId="2" r:id="rId2"/>
    <sheet name="CCU's" sheetId="3" r:id="rId3"/>
    <sheet name="Insumos" sheetId="4" r:id="rId4"/>
    <sheet name="Composição de BDI" sheetId="5" r:id="rId5"/>
    <sheet name="Composição de Encargos Sociais" sheetId="6" r:id="rId6"/>
    <sheet name="Cronograma" sheetId="7" r:id="rId7"/>
  </sheets>
  <definedNames>
    <definedName name="_Toc162077558_1">#REF!</definedName>
    <definedName name="_xlnm.Print_Area" localSheetId="2">'CCU''s'!$A$1:$G$355</definedName>
    <definedName name="_xlnm.Print_Area" localSheetId="4">'Composição de BDI'!$A$1:$D$30</definedName>
    <definedName name="_xlnm.Print_Area" localSheetId="5">'Composição de Encargos Sociais'!$A$1:$D$45</definedName>
    <definedName name="_xlnm.Print_Area" localSheetId="6">'Cronograma'!$A$1:$G$62</definedName>
    <definedName name="_xlnm.Print_Area" localSheetId="3">'Insumos'!$A$1:$F$202</definedName>
    <definedName name="_xlnm.Print_Area" localSheetId="1">'Orçamento Sintético'!$A$1:$G$181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5">#REF!</definedName>
    <definedName name="Excel_BuiltIn_Print_Area_2_5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3">#REF!</definedName>
    <definedName name="Excel_BuiltIn_Print_Area_3_1_1_1_3">#REF!</definedName>
    <definedName name="Excel_BuiltIn_Print_Area_3_1_1_3">#REF!</definedName>
    <definedName name="Excel_BuiltIn_Print_Area_3_1_3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">#REF!</definedName>
    <definedName name="Excel_BuiltIn_Print_Titles_3_1_3">#REF!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2">'CCU''s'!$1:$9</definedName>
    <definedName name="_xlnm.Print_Titles" localSheetId="4">'Composição de BDI'!$1:$9</definedName>
    <definedName name="_xlnm.Print_Titles" localSheetId="5">'Composição de Encargos Sociais'!$1:$9</definedName>
    <definedName name="_xlnm.Print_Titles" localSheetId="6">'Cronograma'!$A:$D,'Cronograma'!$1:$10</definedName>
    <definedName name="_xlnm.Print_Titles" localSheetId="3">'Insumos'!$1:$9</definedName>
    <definedName name="_xlnm.Print_Titles" localSheetId="1">'Orçamento Sintético'!$1:$9</definedName>
    <definedName name="Z_30D3052A_28E2_4FD7_BA1C_F8C04069EC7B_.wvu.PrintArea" localSheetId="6" hidden="1">'Cronograma'!$A$1:$F$62</definedName>
    <definedName name="Z_30D3052A_28E2_4FD7_BA1C_F8C04069EC7B_.wvu.PrintTitles" localSheetId="6" hidden="1">'Cronograma'!$A:$D,'Cronograma'!$1:$10</definedName>
    <definedName name="Z_498CD290_57D3_4EB6_809E_4485D3431D25_.wvu.Cols" localSheetId="1" hidden="1">'Orçamento Sintético'!#REF!</definedName>
    <definedName name="Z_498CD290_57D3_4EB6_809E_4485D3431D25_.wvu.PrintArea" localSheetId="6" hidden="1">'Cronograma'!$A$1:$F$62</definedName>
    <definedName name="Z_498CD290_57D3_4EB6_809E_4485D3431D25_.wvu.PrintArea" localSheetId="3" hidden="1">'Insumos'!$A$1:$D$202</definedName>
    <definedName name="Z_498CD290_57D3_4EB6_809E_4485D3431D25_.wvu.PrintArea" localSheetId="1" hidden="1">'Orçamento Sintético'!$A$1:$G$182</definedName>
    <definedName name="Z_498CD290_57D3_4EB6_809E_4485D3431D25_.wvu.PrintTitles" localSheetId="6" hidden="1">'Cronograma'!$A:$D,'Cronograma'!$1:$10</definedName>
    <definedName name="Z_71409849_3ED0_4F48_B303_9AEF25621248_.wvu.PrintArea" localSheetId="6" hidden="1">'Cronograma'!$A$1:$F$62</definedName>
    <definedName name="Z_71409849_3ED0_4F48_B303_9AEF25621248_.wvu.PrintTitles" localSheetId="6" hidden="1">'Cronograma'!$A:$D,'Cronograma'!$1:$10</definedName>
    <definedName name="Z_90C689CB_2D29_425D_ABEB_98210574A54A_.wvu.PrintArea" localSheetId="6" hidden="1">'Cronograma'!$A$1:$F$62</definedName>
    <definedName name="Z_90C689CB_2D29_425D_ABEB_98210574A54A_.wvu.PrintArea" localSheetId="1" hidden="1">'Orçamento Sintético'!$A$1:$G$183</definedName>
    <definedName name="Z_90C689CB_2D29_425D_ABEB_98210574A54A_.wvu.PrintTitles" localSheetId="6" hidden="1">'Cronograma'!$A:$D,'Cronograma'!$1:$10</definedName>
    <definedName name="Z_AABDECCC_9386_49A1_96E9_F797DCC1E421_.wvu.PrintArea" localSheetId="6" hidden="1">'Cronograma'!$A$1:$F$62</definedName>
    <definedName name="Z_AABDECCC_9386_49A1_96E9_F797DCC1E421_.wvu.PrintTitles" localSheetId="6" hidden="1">'Cronograma'!$A:$D,'Cronograma'!$1:$10</definedName>
    <definedName name="Z_BC62E081_70CA_46B9_88E2_4181F6A5F73D_.wvu.PrintArea" localSheetId="6" hidden="1">'Cronograma'!$A$1:$F$62</definedName>
    <definedName name="Z_BC62E081_70CA_46B9_88E2_4181F6A5F73D_.wvu.PrintTitles" localSheetId="6" hidden="1">'Cronograma'!$A:$D,'Cronograma'!$1:$10</definedName>
  </definedNames>
  <calcPr fullCalcOnLoad="1"/>
</workbook>
</file>

<file path=xl/sharedStrings.xml><?xml version="1.0" encoding="utf-8"?>
<sst xmlns="http://schemas.openxmlformats.org/spreadsheetml/2006/main" count="1218" uniqueCount="661">
  <si>
    <t>Tê de redução, PVC, soldável, DN 85mm x 50mm - fornecimento e instalação</t>
  </si>
  <si>
    <t>Tê de redução, PVC, soldável, DN 110mm x 85mm - fornecimento e instalação</t>
  </si>
  <si>
    <t>05.03.325</t>
  </si>
  <si>
    <t>05.03.326</t>
  </si>
  <si>
    <t>05.03.327</t>
  </si>
  <si>
    <t>05.03.328</t>
  </si>
  <si>
    <t>Bucha de redução de PVC, soldável, longa, com 60 x 25mm, para água fria predial</t>
  </si>
  <si>
    <t>Tê de redução, PVC, soldável, 90 graus, 85mm x 60mm, para água fria predial</t>
  </si>
  <si>
    <t>Bucha de redução de PVC, soldável, curta, com 60 x 50mm, para água fria predial</t>
  </si>
  <si>
    <t>Bucha de redução de PVC, soldável, curta, com 110 x 85mm, para água fria predial</t>
  </si>
  <si>
    <t>Tê soldável, PVC, 90 graus, 110mm, para água fria predial (NBR 5648)</t>
  </si>
  <si>
    <t>Cap PVC, série R, DN 150mm, para esgoto predial</t>
  </si>
  <si>
    <t>Cap, PVC, DN 150mm (tampão) - fornecimento e instalação</t>
  </si>
  <si>
    <t>Caixa de captação pluvial em tubo de concreto Ø80cm, profundidade 60cm</t>
  </si>
  <si>
    <t>Tampão em alumínio 60 x 60cm, articulado, reforçado, para reservatório superior, ref. Prolider</t>
  </si>
  <si>
    <t>Tubo concreto armado, classe PA-1, PB, DN 800mm, para águas pluviais (NBR 8890)</t>
  </si>
  <si>
    <t>Argamassa traço 1:3 (cimento e areia média), preparo manual. AF_08/2014</t>
  </si>
  <si>
    <t>Concreto magro para lastro, traço 1:4,5:4,5 (cimento / areia média / brita 1) - preparo mecânico com betoneira 400l. AF_07/2016</t>
  </si>
  <si>
    <t>Concreto fck = 15MPa, traço 1:3,4:3,5 (cimento / areia média / brita 1) - preparo mecânico com betoneira 400l. AF_07/2016</t>
  </si>
  <si>
    <t>CM1345</t>
  </si>
  <si>
    <t>Tampão em alumínio 60 x 60cm, articulado, reforçado, ref. Prolider</t>
  </si>
  <si>
    <t>Portão 6,20x2,10m com uma folha de abrir 0,90x2,10m em perfil de aço "U", cantoneira 3 x 3 cm e tela de arame galv quadrangular / losangular, fio 2,77 mm (12 Bwg), malha 5 x 5 cm - incluso pintura e fundo preparador</t>
  </si>
  <si>
    <r>
      <t xml:space="preserve">Proteção mecânica </t>
    </r>
    <r>
      <rPr>
        <u val="single"/>
        <sz val="8"/>
        <rFont val="Arial"/>
        <family val="2"/>
      </rPr>
      <t>horizontal</t>
    </r>
    <r>
      <rPr>
        <sz val="8"/>
        <rFont val="Arial"/>
        <family val="2"/>
      </rPr>
      <t xml:space="preserve"> em argamassa desempenada, e=3cm, traço 1:4 (cimento e areia), com tela   de aço soldada, junta de dilatação em sarrafo de madeira e camada separadora com manta geotextil Bidim - Manta RT-14</t>
    </r>
  </si>
  <si>
    <t>QFB1-BAP (bomba recalque de águas pluviais e água de reuso) - PJGA</t>
  </si>
  <si>
    <t>QFB2-BAP (bomba recalque de águas pluviais e água de reuso) - PJGA</t>
  </si>
  <si>
    <t>06.01.411</t>
  </si>
  <si>
    <t>Cabo HEPR singelo, de cobre flexível, 6 mm², têmpera mole, encordoamento classe 5, isolação termofixa em dupla camada de borracha etilenopropileno HEPR 90°C 0,6/1kV, fabricação Prysmian, linha Eprotenax Gsette</t>
  </si>
  <si>
    <t>Condulete de pvc, tipo TB, para eletroduto de PVC soldável DN 32 mm (1''), aparente - fornecimento e instalação. AF_11/2016</t>
  </si>
  <si>
    <t>16.012.000006.MAT</t>
  </si>
  <si>
    <t>Eletroduto de aço com costura galvanização eletrolítica Ø 1.1/4"</t>
  </si>
  <si>
    <t>Lixa em folha para ferro, número 150</t>
  </si>
  <si>
    <t>MARCA</t>
  </si>
  <si>
    <t>MODELO</t>
  </si>
  <si>
    <t>*********</t>
  </si>
  <si>
    <t>Instruções de Preenchimento do Modelo de Proposta</t>
  </si>
  <si>
    <t>CONSIDERAÇÕES GERAIS</t>
  </si>
  <si>
    <t>Sugerimos a seguinte sequência de preenchimento de planilhas:</t>
  </si>
  <si>
    <t>2.1</t>
  </si>
  <si>
    <t>2.2</t>
  </si>
  <si>
    <t>2.3</t>
  </si>
  <si>
    <t>2.4</t>
  </si>
  <si>
    <t>2.5</t>
  </si>
  <si>
    <t>SOBRE A PLANILHA DE ORÇAMENTO SINTÉTICO</t>
  </si>
  <si>
    <t>SOBRE A PLANILHA DE COMPOSIÇÃO DE CUSTOS UNITÁRIOS (CCU's)</t>
  </si>
  <si>
    <t>Esta planilha contem vínculos. Tornando-se dependente dos preços, descrições e unidades constantes tanto na Planilha Geral de Insumos e Serviços quanto na Planilha de Orçamento Sintético;</t>
  </si>
  <si>
    <t>Os valores unitários de serviços compostos nesta planilha, são transportados automaticamente para a Planilha de Orçamento Sintético;</t>
  </si>
  <si>
    <t>SOBRE A PLANILHA GERAL DE INSUMOS E SERVIÇOS</t>
  </si>
  <si>
    <t>Esta planilha constitui a base para estruturação dos preços unitários e totais.</t>
  </si>
  <si>
    <t>Valide os valores constantes neste arquivo. Em consoância com o edital aqueles são os valores máximos adimitidos, desta forma, é facultado à Licitante sua manutenção ou diminuição.</t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</si>
  <si>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</si>
  <si>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</si>
  <si>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</si>
  <si>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</si>
  <si>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</si>
  <si>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Composição de Custo Total.</t>
  </si>
  <si>
    <t>E</t>
  </si>
  <si>
    <t>SOBRE A PLANILHA DE COMPOSIÇÃO DE ENCARGOS SOCIAIS</t>
  </si>
  <si>
    <t>E1</t>
  </si>
  <si>
    <t>Esta planilha é meramente demonstrativa (não influi sobre o valor final do orçamento), mas seu resultado é transportado automaticamente para a Planilha de Custo Total.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</si>
  <si>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</si>
  <si>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</si>
  <si>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</si>
  <si>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</si>
  <si>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</si>
  <si>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t>As etapas a serem executadas mensalmente, deverão ser informadas na linha do percentual, e os valores serão preenchidos automaticamente;</t>
  </si>
  <si>
    <t>F.3</t>
  </si>
  <si>
    <t>O ajuste final (última etapa) de um determinado item, deverá respeitar a fórmula inserida no último mês do cronograma, transportando-a quando necessário.</t>
  </si>
  <si>
    <t>Telefone / email:</t>
  </si>
  <si>
    <t>Licitação:</t>
  </si>
  <si>
    <t>Razão Social:</t>
  </si>
  <si>
    <t>CNPJ:</t>
  </si>
  <si>
    <t>Contato:</t>
  </si>
  <si>
    <t>P. Validade:</t>
  </si>
  <si>
    <t>P. Execução:</t>
  </si>
  <si>
    <t>P. Garantia: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</si>
  <si>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</si>
  <si>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r>
      <t xml:space="preserve">Valide os valores constantes na </t>
    </r>
    <r>
      <rPr>
        <b/>
        <sz val="8"/>
        <rFont val="Arial"/>
        <family val="2"/>
      </rPr>
      <t>Planilha Geral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. Em consoância com o edital aqueles são os valores máximos adimitidos, desta forma, é facultado à Licitante sua manutenção ou diminuição.</t>
    </r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</si>
  <si>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Composição de Custos Unitários</t>
    </r>
    <r>
      <rPr>
        <sz val="8"/>
        <rFont val="Arial"/>
        <family val="2"/>
      </rPr>
      <t>.</t>
    </r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</si>
  <si>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</si>
  <si>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A184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</si>
  <si>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</si>
  <si>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r>
      <t xml:space="preserve">A Planilha Orçamentária </t>
    </r>
    <r>
      <rPr>
        <b/>
        <u val="single"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</si>
  <si>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(CCU's, Planilha Geral de Insumos e Serviços). Desta forma </t>
    </r>
    <r>
      <rPr>
        <b/>
        <u val="single"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</si>
  <si>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</si>
  <si>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r>
      <t xml:space="preserve">Indique a marca e modelo dos itens (quando aplicável). </t>
    </r>
    <r>
      <rPr>
        <b/>
        <u val="single"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</si>
  <si>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t>Reparo/colagem de estruturas de concreto com adesivo estrutural a base de epoxi, e=2 mm</t>
  </si>
  <si>
    <t>(Composição representativa) do serviço de instalação de tubos de PVC, soldável, água fria, DN 50mm (instalado em prumada), inclusive conexões, cortes e fixações, para prédios. AF_10/2015</t>
  </si>
  <si>
    <t>05.03.307</t>
  </si>
  <si>
    <t>06.01.404</t>
  </si>
  <si>
    <t>04.01.567</t>
  </si>
  <si>
    <t>Solvente diluente a base de aguarras</t>
  </si>
  <si>
    <t>Tinta esmalte sintético premium brilhante</t>
  </si>
  <si>
    <t>Lixa d'água em folha, grão 100</t>
  </si>
  <si>
    <t>Hidrômetro Woltmann, vazão máxima de 50,0 m³h, de 2"</t>
  </si>
  <si>
    <t>05.03.312</t>
  </si>
  <si>
    <t>05.03.313</t>
  </si>
  <si>
    <t>Tê, PVC, soldável, DN 85 mm instalado em reservação de água de edificação que possua reservatório de fibra/fibrocimento - fornecimento e instalação. AF_06/2016</t>
  </si>
  <si>
    <t>05.03.806</t>
  </si>
  <si>
    <t>05.03.807</t>
  </si>
  <si>
    <t>05.03.808</t>
  </si>
  <si>
    <t>Registro de gaveta bruto, latão, roscável, 3", instalado em reservação de água de edificação que possua reservatório de fibra/fibrocimetno - fornecimento e instalação. AF_06/2016</t>
  </si>
  <si>
    <t>Registro de gaveta bruto, latão, roscável, 2", instalado em reservação de água de edificação que possua reservatório de fibra/fibrocimetno - fornecimento e instalação. AF_06/2016</t>
  </si>
  <si>
    <t>Registro de gaveta bruto, latão, roscável, 1.1/2", instalado em reservação de água de edificação que possua reservatório de fibra/fibrocimetno - fornecimento e instalação. AF_06/2016</t>
  </si>
  <si>
    <t>Registro de gaveta bruto, latão, roscável, 1", instalado em reservação de água de edificação que possua reservatório de fibra/fibrocimetno - fornecimento e instalação. AF_06/2016</t>
  </si>
  <si>
    <t>05.03.809</t>
  </si>
  <si>
    <t>05.03.810</t>
  </si>
  <si>
    <t>05.03.811</t>
  </si>
  <si>
    <t>Tela de arame galv quadrangular / losangular, fio 2,77 mm (12 Bwg), malha 5 x 5 cm, h = 2 m</t>
  </si>
  <si>
    <t>Soldador com encargos complementares</t>
  </si>
  <si>
    <t>1.1/4</t>
  </si>
  <si>
    <t>Perfil "U" de aço laminado, "U" 152x15,6</t>
  </si>
  <si>
    <t>kg/m</t>
  </si>
  <si>
    <t>Cantoneira aco abas iguais (qualquer bitola), espessura entre 1/8" e 1/4"</t>
  </si>
  <si>
    <t>Dobradiça em aço/ferro, 3" x 2 1/2", e= 1,2 a 1,8 mm, sem anel, cromado ou zincado, tampa chata, com parafusos</t>
  </si>
  <si>
    <t>Auxiliar de serralheiro com encargos complementares</t>
  </si>
  <si>
    <t>05.03.314</t>
  </si>
  <si>
    <t>05.03.315</t>
  </si>
  <si>
    <t>05.03.316</t>
  </si>
  <si>
    <t>05.03.317</t>
  </si>
  <si>
    <t>05.03.318</t>
  </si>
  <si>
    <t>Escavação manual de vala com profundidade menor ou igual a 1,30 m</t>
  </si>
  <si>
    <t>CM1317</t>
  </si>
  <si>
    <t>Remoção de tubulações (tubos e conexões) de água fria, de forma manual, sem reaproveitamento. AF_12/2017</t>
  </si>
  <si>
    <t>Remoção de metais sanitários, de forma manual, sem reaproveitamento. AF_12/2017</t>
  </si>
  <si>
    <t>Transporte horizontal, tubos de PVC série normal - esgoto predial, ou reforçado para esgoto ou águas pluviais predial, com diâmetro maior que 100mm e menor ou igual a 150mm, manual, 30m. AF_06/2015</t>
  </si>
  <si>
    <t>Transporte horizontal, tubos de PVC série normal - esgoto predial, ou reforçado para esgoto ou águas pluviais predial, com diâmetro maior que 75mm e menor ou igual a 100mm, manual, 30m. AF_06/2015</t>
  </si>
  <si>
    <t>Transporte horizontal, tubos de PVC soldável com diâmetro maior que 60mm e menor ou igual a 85mm, manual, 30m. AF_06/2015</t>
  </si>
  <si>
    <t>Transporte horizontal, tubos de PVC soldável com diâmetro menor ou igual a 60mm, manual, 30m. AF_06/2015</t>
  </si>
  <si>
    <t>(Composição representativa) do serviços de instalação de tubos de PVC, série R, água pluvial, DN 150mm (instalado em condutores verticais), inclusive conexões, cortes e fixações, para prédios. AF_10/2015</t>
  </si>
  <si>
    <t>(Composição representativa) do serviços de instalação de tubos de PVC, série normal, esgoto predial, DN 150mm (instalado em sub-coletor aéreo), inclusive conexões, cortes e fixações, para prédios. AF_10/2015</t>
  </si>
  <si>
    <t>(Composição representativa) do serviços de instalação de tubos de PVC, série R, água pluvial, DN 100mm (instalado em ramal de encaminhamento, ou condutores verticais), inclusive conexões, cortes e fixações, para prédios. AF_10/2015</t>
  </si>
  <si>
    <t>Tubo, PVC, soldável, DN 85mm, instalado em prumada de água - fornecimento e instalação. AF_12/2014</t>
  </si>
  <si>
    <t>Tubo, PVC, soldável, DN 60mm, instalado em reservação de água de edificação que possua reservatório de fibra/fibrocimento - fornecimento e instalação. AF_06/2016</t>
  </si>
  <si>
    <t>(Composição representativa) do serviço de instalação de tubos de PVC, soldável, água fria, DN 40mm (instalado em prumada), inclusive conexões, cortes e fixações, para prédios. AF_10/2015</t>
  </si>
  <si>
    <t>(Composição representativa) do serviço de instalação de tubos de PVC, soldável, água fria, DN 25mm (instalado em ramal, sub-ramal, ramal de distribuição ou prumada), inclusive conexões, cortes e fixações, para prédios. AF_10/2015</t>
  </si>
  <si>
    <t>Tê, PVC, soldável, DN 60mm instalado em reservação de água de edificação que possua reservatório de fibra/fibrocimento - fornecimento e instalação. AF_06/2016</t>
  </si>
  <si>
    <t>Joelho 90 graus, PVC, soldável, DN 60mm instalado em reservação de água de edificação que possua reservatório de fibra/fibrocimento - fornecimento e instalação. AF_06/2016</t>
  </si>
  <si>
    <t>Joelho 45 graus, PVC, soldável, DN 60mm, instalado em prumada de água - fornecimento e instalação. AF_12/2014</t>
  </si>
  <si>
    <t>Joelho 90 graus, PVC, soldável, DN 85mm instalado em reservação de água de edificação que possua reservatório de fibra/fibrocimento - fornecimento e instalação. AF_06/2016</t>
  </si>
  <si>
    <t>Joelho 45 graus, PVC, soldável, DN 85mm, instalado em prumada de água - fornecimento e instalação. AF_12/2014</t>
  </si>
  <si>
    <t>Fixação de tubos horizontais de pvc, cpvc ou cobre diâmetros menores ou iguais a 40 mm ou eletrocalhas até 150mm de largura, com abraçadeira metálica rígida tipo D 1/2", fixada em perfilado em laje</t>
  </si>
  <si>
    <t>Adaptador com flanges livres, PVC, soldável, DN 85mm x 3, instalado em reservação de água de edificação que possua reservatório de fibra/fibrocimento - fornecimento e instalação. AF_06/2016</t>
  </si>
  <si>
    <t>Adaptador com flanges livres, PVC, soldável, DN 60mm x 2, instalado em reservação de água de edificação que possua reservatório de fibra/fibrocimento - fornecimento e instalação. AF_06/2016</t>
  </si>
  <si>
    <t>Adaptador com flanges livres, PVC, soldável, DN 50mm x 1.1/2, instalado em reservação de água de edificação que possua reservatório de fibra/fibrocimento - fornecimento e instalação. AF_06/2016</t>
  </si>
  <si>
    <t>Adaptador com flanges livres, PVC, soldável, DN 40mm x 1.1/4, instalado em reservação de água de edificação que possua reservatório de fibra/fibrocimento - fornecimento e instalação. AF_06/2016</t>
  </si>
  <si>
    <t>Válvula de retenção vertical, de bronze, roscável, 1.1/2" - fornecimento e instalação. AF_01/2019</t>
  </si>
  <si>
    <t>Fixação de tubos horizontais de PVC, CPVC ou cobre diâmetros maiores que 75mm com abraçadeira metálica flexível 18mm, fixada diretamente na laje. AF_05/2015</t>
  </si>
  <si>
    <t>Fixação de tubos horizontais de PVC, CPVC ou cobre diâmetros maiores que 40mm e menores ou iguais a 75mm com abraçadeira metálica flexível 18mm, fixada diretamente na laje. AF_05/2015</t>
  </si>
  <si>
    <t>Fixação de tubos horizontais de PVC, CPVC ou cobre diâmetros menores ou iguais a 40mm com abraçadeira metálica flexível 18mm, fixada diretamente na laje. AF_05/2015</t>
  </si>
  <si>
    <t>05.03.319</t>
  </si>
  <si>
    <t>05.03.320</t>
  </si>
  <si>
    <t>05.03.908</t>
  </si>
  <si>
    <t>05.03.812</t>
  </si>
  <si>
    <t>Reaterro manual de valas com compactação mecanizada. Af_04/2016</t>
  </si>
  <si>
    <t>(Composição representativa) do serviço de instalação de tubos de PVC, soldável, água fria, DN 32mm (instalado em ramal, sub-ramal, ramal de distribuição ou prumada), inclusive conexões, cortes e fixações, para prédios. AF_10/2015</t>
  </si>
  <si>
    <t>04.01.563</t>
  </si>
  <si>
    <t>04.01.564</t>
  </si>
  <si>
    <t>Pintor com encargos complementares</t>
  </si>
  <si>
    <t>06.00.000</t>
  </si>
  <si>
    <t>INSTALAÇÕES ELÉTRICAS E ELETRÔNICAS</t>
  </si>
  <si>
    <t>06.01.000</t>
  </si>
  <si>
    <t>INSTALAÇÕES ELÉTRICAS</t>
  </si>
  <si>
    <t>06.01.400</t>
  </si>
  <si>
    <t>Rede Elétrica Secundária</t>
  </si>
  <si>
    <t>06.01.405</t>
  </si>
  <si>
    <t>06.01.401</t>
  </si>
  <si>
    <t>05.03.308</t>
  </si>
  <si>
    <t>05.03.309</t>
  </si>
  <si>
    <t>05.03.310</t>
  </si>
  <si>
    <t>05.03.311</t>
  </si>
  <si>
    <t>06.01.402</t>
  </si>
  <si>
    <t>Limpeza de obra</t>
  </si>
  <si>
    <t>Pessoal</t>
  </si>
  <si>
    <t>06.01.403</t>
  </si>
  <si>
    <t>l</t>
  </si>
  <si>
    <t>Primer para manta asfáltica a base de asfalto modificado diluído em solvente, aplicação a frio tipo Adeflex ou equivalente</t>
  </si>
  <si>
    <t>05.03.816</t>
  </si>
  <si>
    <t>Impermeabilização de superfície com manta asfáltica (com polímeros tipo APP), e=4 mm</t>
  </si>
  <si>
    <t>DEMOLIÇÃO</t>
  </si>
  <si>
    <t>05.03.000</t>
  </si>
  <si>
    <t>DRENAGEM DE ÁGUAS PLUVIAIS</t>
  </si>
  <si>
    <t>05.03.300</t>
  </si>
  <si>
    <t>05.03.900</t>
  </si>
  <si>
    <t>Planilha Geral de Insumos e Serviços</t>
  </si>
  <si>
    <t>Data:</t>
  </si>
  <si>
    <t>PREÇO UNIT.</t>
  </si>
  <si>
    <t>INSUMOS E SERVIÇOS - SINAPI</t>
  </si>
  <si>
    <t>MÃO-DE-OBRA</t>
  </si>
  <si>
    <t>h</t>
  </si>
  <si>
    <t>Auxiliar de encanador ou bombeiro hidráulico com encargos complementares</t>
  </si>
  <si>
    <t>Registro do contrato junto ao conselho de classe (ART)</t>
  </si>
  <si>
    <t>Encanador ou bombeiro hidráulico com encargos complementares</t>
  </si>
  <si>
    <t>Impermeabilizador com encargos complementares</t>
  </si>
  <si>
    <t>Servente com encargos complementares</t>
  </si>
  <si>
    <t>MATERIAL / EQUIPAMENTO</t>
  </si>
  <si>
    <t>kg</t>
  </si>
  <si>
    <t>Acessórios</t>
  </si>
  <si>
    <t>SERVIÇOS</t>
  </si>
  <si>
    <t>Tela de aço soldada nervurada, CA-60, Q-196, (3,11 kg/m2), diâmetro do fio = 5,0 mm, largura =  2,45 m, espaçamento da malha = 10 x 10 cm</t>
  </si>
  <si>
    <t>Carga manual de entulho em caminhão basculante 6m³</t>
  </si>
  <si>
    <t>Aplicação manual de pintura com tinta látex acrílica em paredes, duas demãos.</t>
  </si>
  <si>
    <t>04.01.250</t>
  </si>
  <si>
    <t>Esquadria de Alumínio</t>
  </si>
  <si>
    <t>CM645</t>
  </si>
  <si>
    <t xml:space="preserve">Limpeza final da obra </t>
  </si>
  <si>
    <t>chp</t>
  </si>
  <si>
    <t>chi</t>
  </si>
  <si>
    <t>Valor sem OPERAÇÃO E MANUTENÇÃO DO CANTEIRO</t>
  </si>
  <si>
    <t>INSUMOS E SERVIÇOS - VOLARE</t>
  </si>
  <si>
    <t>INSUMOS E SERVIÇOS - MERCADO</t>
  </si>
  <si>
    <t>Anotação de Resposanbilidade Técnica (Faixa 3 - Tabela A - CONFEA)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</si>
  <si>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</si>
  <si>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</si>
  <si>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</si>
  <si>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</si>
  <si>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</si>
  <si>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</si>
  <si>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</si>
  <si>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</si>
  <si>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</si>
  <si>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</si>
  <si>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</si>
  <si>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</si>
  <si>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</si>
  <si>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</si>
  <si>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</si>
  <si>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</si>
  <si>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</si>
  <si>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</si>
  <si>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</si>
  <si>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</si>
  <si>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</si>
  <si>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</si>
  <si>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Cronograma Físico-Financeiro</t>
  </si>
  <si>
    <t>MENSAL</t>
  </si>
  <si>
    <t>VALOR (R$)</t>
  </si>
  <si>
    <t>ACUMULADO</t>
  </si>
  <si>
    <t>CÓDIGO DE ORIGEM</t>
  </si>
  <si>
    <t>ITEM</t>
  </si>
  <si>
    <t>DESCRIÇÃO</t>
  </si>
  <si>
    <t>UN</t>
  </si>
  <si>
    <t>QUANT.</t>
  </si>
  <si>
    <t>PREÇO UNIT. (R$)</t>
  </si>
  <si>
    <t>PREÇO TOTAL (R$)</t>
  </si>
  <si>
    <t>SERVIÇOS PRELIMINARES</t>
  </si>
  <si>
    <t>vb</t>
  </si>
  <si>
    <t>sv</t>
  </si>
  <si>
    <t>mês</t>
  </si>
  <si>
    <t>m²</t>
  </si>
  <si>
    <t>m</t>
  </si>
  <si>
    <t>m³</t>
  </si>
  <si>
    <t>un</t>
  </si>
  <si>
    <t>SERVIÇOS COMPLEMENTARES</t>
  </si>
  <si>
    <t>VALOR TOTAL SEM BDI</t>
  </si>
  <si>
    <t>MATERIAL</t>
  </si>
  <si>
    <t>BDI</t>
  </si>
  <si>
    <t>VALOR TOTAL COM BDI</t>
  </si>
  <si>
    <t>02.02.301</t>
  </si>
  <si>
    <t>04.01.200</t>
  </si>
  <si>
    <t>Esquadrias</t>
  </si>
  <si>
    <t>04.01.500</t>
  </si>
  <si>
    <t>Revestimentos</t>
  </si>
  <si>
    <t>04.01.560</t>
  </si>
  <si>
    <t>Pinturas</t>
  </si>
  <si>
    <t>04.01.562</t>
  </si>
  <si>
    <t>09.02.000</t>
  </si>
  <si>
    <t>09.02.001</t>
  </si>
  <si>
    <t>10.01.000</t>
  </si>
  <si>
    <t>10.01.001</t>
  </si>
  <si>
    <t>01.00.000</t>
  </si>
  <si>
    <t>SERVIÇOS TÉCNICOS-PROFISSIONAIS</t>
  </si>
  <si>
    <t>02.00.000</t>
  </si>
  <si>
    <t>04.00.000</t>
  </si>
  <si>
    <t>05.00.000</t>
  </si>
  <si>
    <t>ARQUITETURA E ELEMENTOS DE URBANISMO</t>
  </si>
  <si>
    <t>INSTALAÇÕES HIDRÁULICAS E SANITÁRIAS</t>
  </si>
  <si>
    <t>09.00.000</t>
  </si>
  <si>
    <t>10.00.000</t>
  </si>
  <si>
    <t>SERVIÇOS AUXILIARES E ADMNISTRATIVOS</t>
  </si>
  <si>
    <t>01.08.000</t>
  </si>
  <si>
    <t>TAXAS E EMOLUMENTOS</t>
  </si>
  <si>
    <t>01.08.001</t>
  </si>
  <si>
    <t>02.01.000</t>
  </si>
  <si>
    <t>CANTEIRO DE OBRAS</t>
  </si>
  <si>
    <t>02.01.400</t>
  </si>
  <si>
    <t>Proteção e Sinalização</t>
  </si>
  <si>
    <t>02.02.000</t>
  </si>
  <si>
    <t>02.02.100</t>
  </si>
  <si>
    <t>Demolição convencional</t>
  </si>
  <si>
    <t>02.02.300</t>
  </si>
  <si>
    <t>Remoções</t>
  </si>
  <si>
    <t>02.02.101</t>
  </si>
  <si>
    <t>Composição de BDI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</si>
  <si>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</si>
  <si>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</si>
  <si>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</si>
  <si>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</si>
  <si>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</si>
  <si>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</si>
  <si>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</si>
  <si>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a2</t>
  </si>
  <si>
    <t>Administração Central</t>
  </si>
  <si>
    <t>a3</t>
  </si>
  <si>
    <t>a4</t>
  </si>
  <si>
    <t>Lucro</t>
  </si>
  <si>
    <t>Grupo B</t>
  </si>
  <si>
    <t>% em relação ao valor total VT</t>
  </si>
  <si>
    <t>B1</t>
  </si>
  <si>
    <t>Tributos</t>
  </si>
  <si>
    <t>Pis</t>
  </si>
  <si>
    <t>Cofins</t>
  </si>
  <si>
    <t>Composição de Encargos Sociais - Horista</t>
  </si>
  <si>
    <t>CÓDIGO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</si>
  <si>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</si>
  <si>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</si>
  <si>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</si>
  <si>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</si>
  <si>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</si>
  <si>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</si>
  <si>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</si>
  <si>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</si>
  <si>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</si>
  <si>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</si>
  <si>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</si>
  <si>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</si>
  <si>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</si>
  <si>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</si>
  <si>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</si>
  <si>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</si>
  <si>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</si>
  <si>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</si>
  <si>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</si>
  <si>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</si>
  <si>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</si>
  <si>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</si>
  <si>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</si>
  <si>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</si>
  <si>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</si>
  <si>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</si>
  <si>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</si>
  <si>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</si>
  <si>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</si>
  <si>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</si>
  <si>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</si>
  <si>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</si>
  <si>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</si>
  <si>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</si>
  <si>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</si>
  <si>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</si>
  <si>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</si>
  <si>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</si>
  <si>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</si>
  <si>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</si>
  <si>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Orçamento Sintético</t>
  </si>
  <si>
    <t>Composição de Custos Unitários</t>
  </si>
  <si>
    <t>ISS (2% após desconto das mercadorias aplicadas, conforme percentual descrito no orçamento sintético)</t>
  </si>
  <si>
    <t>Serralheiro com encargos complementares</t>
  </si>
  <si>
    <t>Em todas as indicações de marca/modelo, considere "ou similar equivalente técnico ou de melhor qualidade".</t>
  </si>
  <si>
    <t>Todos os itens da planilha se referem ou estão em conformidade com o Termo de Referência e Anexos.</t>
  </si>
  <si>
    <t>04.01.561</t>
  </si>
  <si>
    <t>Seguro + garantia</t>
  </si>
  <si>
    <t>Risco</t>
  </si>
  <si>
    <t>Despesa Financeira</t>
  </si>
  <si>
    <t>a5</t>
  </si>
  <si>
    <t>BDI = [(((1+(a1+a2+a3))*(1+a4)*(1+a5)))/(1-B1)-1]</t>
  </si>
  <si>
    <t>PRAZO</t>
  </si>
  <si>
    <t>VALOR TOTAL COM BDI (R$)</t>
  </si>
  <si>
    <t>1º ao 30º</t>
  </si>
  <si>
    <t>31º ao 60º</t>
  </si>
  <si>
    <t>Tubulações e Conexões de PVC</t>
  </si>
  <si>
    <t>02.02.303</t>
  </si>
  <si>
    <t>02.02.304</t>
  </si>
  <si>
    <t>Auxiliar de eletricista com encargos complementares</t>
  </si>
  <si>
    <t>Eletricista com encargos complementares</t>
  </si>
  <si>
    <t>04.01.600</t>
  </si>
  <si>
    <t>Impermeabilizações</t>
  </si>
  <si>
    <t>04.01.601</t>
  </si>
  <si>
    <t>04.01.602</t>
  </si>
  <si>
    <t>04.01.603</t>
  </si>
  <si>
    <t>04.01.604</t>
  </si>
  <si>
    <t>73924/2</t>
  </si>
  <si>
    <t>Pintura esmalte acetinado, duas demãos, sobre superficie metálica</t>
  </si>
  <si>
    <t>Fundo preparador primer sintético, para estrutura metálica, uma demão, espessura de 25 micra</t>
  </si>
  <si>
    <t>Armação de pilar ou viga de uma estrutura convencional de concreto armado em uma edificação térrea ou sobrado utilizando aço CA-50 de 6,3 mm - montagem</t>
  </si>
  <si>
    <t>Armação de pilar ou viga de uma estrutura convencional de concreto armado em uma edificação térrea ou sobrado utilizando aço CA-50 de 12,5 mm - montagem</t>
  </si>
  <si>
    <t>Armação de pilar ou viga de uma estrutura convencional de concreto armado em uma edificação térrea ou sobrado utilizando aço CA-50 de 8,0 mm - montagem</t>
  </si>
  <si>
    <t>Remoção de forro de gesso, de forma manual, sem reaproveitamento. AF_12/2017</t>
  </si>
  <si>
    <t>Montagem e desmontagem de fôrma de laje maciça com área média menor ou igual a 20 m², pé-direito simples, em madeira serrada, 1 utilização</t>
  </si>
  <si>
    <t>03.02.103</t>
  </si>
  <si>
    <t>03.02.104</t>
  </si>
  <si>
    <t>03.02.105</t>
  </si>
  <si>
    <t>03.02.106</t>
  </si>
  <si>
    <t>03.02.107</t>
  </si>
  <si>
    <t>Montagem e desmontagem de fôrma de viga, escoramento com pontalete de madeira, pé-direito simples, em madeira serrada, 1 utilização</t>
  </si>
  <si>
    <t>04.01.550</t>
  </si>
  <si>
    <t>Revestimentos de forro</t>
  </si>
  <si>
    <t>04.01.551</t>
  </si>
  <si>
    <t>03.02.108</t>
  </si>
  <si>
    <t>Aplicação e lixamento de massa látex em paredes, duas demãos. AF_06/2014</t>
  </si>
  <si>
    <t>Aplicação e lixamento de massa látex em teto, duas demãos. AF_06/2014</t>
  </si>
  <si>
    <t>01.006.000016.SET</t>
  </si>
  <si>
    <t>Furo em concreto com broca de widia, utilizando martele elétrico Ø 3/8" profundidade 10 cm</t>
  </si>
  <si>
    <t>03.02.110</t>
  </si>
  <si>
    <t>Forro de gesso acartonado fixo # 12,5 mm com acabamento monolítico fixado com perfis de aço galvanizado, instalado</t>
  </si>
  <si>
    <t>01.020.000001.SET</t>
  </si>
  <si>
    <t>Eletroduto/condulete de PVC rígido, liso, cor cinza, de 25mm, para instalações aparentes (NBR 5410), instalado em forro / entreforro</t>
  </si>
  <si>
    <t>Eletroduto/condulete de PVC rígido, liso, cor cinza, de 32mm, para instalações aparentes (NBR 5410), instalado em forro / entreforro</t>
  </si>
  <si>
    <t>Fita isolante adesiva antichama, uso ate 750 v, em rolo de 19 mm x 5 m</t>
  </si>
  <si>
    <t>Cabo de cobre flexível isolado, 6 mm², anti-chama 450/750V, para circuitos terminais - fornecimento e instalação</t>
  </si>
  <si>
    <t>Cabo de cobre flexível isolado, 4 mm², anti-chama 0,6/1,0 kV, para circuitos terminais - fornecimento e instalação</t>
  </si>
  <si>
    <t>CM1326</t>
  </si>
  <si>
    <t>CM1327</t>
  </si>
  <si>
    <t>QFB1-BAP - quadro elétrico para bomba recalque de aguas pluviais e agua de reuso</t>
  </si>
  <si>
    <t>QFB2-BAP - quadro elétrico para bomba recalque de aguas pluviais e agua de reuso</t>
  </si>
  <si>
    <t>Eletroduto de aço carbono classe semi pesado, Ø32mm (1 1/4" ), aparente, instalado sobre piso - fornecimento e instalação</t>
  </si>
  <si>
    <t>Geotextil não tecido agulhado de filamentos contínuos 100% poliéster, resistência a tração = 16 kN/m</t>
  </si>
  <si>
    <t>Contrapiso em argamassa traço 1:4 (cimento e areia), preparo mecânico com betoneira 400 l, aplicado em áreas molhadas sobre laje, aderido, espessura 3cm</t>
  </si>
  <si>
    <t>05.03.301</t>
  </si>
  <si>
    <t>SERVIÇOS DIVERSOS</t>
  </si>
  <si>
    <t>02.02.302</t>
  </si>
  <si>
    <t>02.02.102</t>
  </si>
  <si>
    <t>04.01.251</t>
  </si>
  <si>
    <t>Tela de poliéster malha 1x1mm</t>
  </si>
  <si>
    <t>04.01.606</t>
  </si>
  <si>
    <t>10.01.002</t>
  </si>
  <si>
    <t>Engenheiro civil de obra pleno com encargos complementares</t>
  </si>
  <si>
    <t>61º ao 90º</t>
  </si>
  <si>
    <t>m³xKm</t>
  </si>
  <si>
    <t>Sarrafo de madeira não aparelhada 2,5 x 5 cm, maçaranduba, Angelim ou equivalente da região</t>
  </si>
  <si>
    <t>Carpinteiro de formas com encargos complementares</t>
  </si>
  <si>
    <t>Gás de cozinha GLP</t>
  </si>
  <si>
    <t>Manta asfaltica elastomerica em poliester 4 mm, tipo III, classe B, acabamento PP (NBR 9952)</t>
  </si>
  <si>
    <t>Ajudante especializado com encargos complementares</t>
  </si>
  <si>
    <t>Aplicação manual de pintura com tinta látex acrílica em teto, duas demãos. AF_06/2014</t>
  </si>
  <si>
    <t>Transporte de material – bota-fora, D.M.T = 60,0 km</t>
  </si>
  <si>
    <t>Transporte com caminhão basculante de 6 m3, em via urbana pavimentada, DMT acima de 30 km (unidade: m3xkm)</t>
  </si>
  <si>
    <t>Encarregado geral de obras com encargos complementares</t>
  </si>
  <si>
    <t>06.01.406</t>
  </si>
  <si>
    <t>06.01.408</t>
  </si>
  <si>
    <t>Eletroduto/condulete de PVC rígido, liso, cor cinza, de 1", para instalações aparentes (NBR 5410)</t>
  </si>
  <si>
    <t>Condulete de pvc, tipo B, para eletroduto de PVC soldável dn 25 mm (3/4''), aparente - fornecimento e instalação</t>
  </si>
  <si>
    <t>Cabo de cobre flexível isolado, 2,5 mm², anti-chama 450/750V, para circuitos terminais - fornecimento e instalação</t>
  </si>
  <si>
    <t>06.01.407</t>
  </si>
  <si>
    <t>06.01.409</t>
  </si>
  <si>
    <t>06.01.410</t>
  </si>
  <si>
    <t>Eletroduto/condulete de PVC rígido, liso, cor cinza, de 3/4", para instalações aparentes (NBR 5410)</t>
  </si>
  <si>
    <t>Demolição de alvenaria de bloco furado, de forma manual, sem reaproveitamento. Af_12/2017</t>
  </si>
  <si>
    <t>CHP</t>
  </si>
  <si>
    <t>03.02.000</t>
  </si>
  <si>
    <t>03.02.100</t>
  </si>
  <si>
    <t>ESTRUTURAS DE CONCRETO</t>
  </si>
  <si>
    <t>Concreto Armado</t>
  </si>
  <si>
    <t>03.02.101</t>
  </si>
  <si>
    <t>73836/1</t>
  </si>
  <si>
    <t>Instalação de conj. Moto bomba horizontal até 10cv</t>
  </si>
  <si>
    <t>05.03.813</t>
  </si>
  <si>
    <t>05.03.814</t>
  </si>
  <si>
    <t>05.03.815</t>
  </si>
  <si>
    <t>Instalação de clorador</t>
  </si>
  <si>
    <t>05.03.901</t>
  </si>
  <si>
    <t>05.03.902</t>
  </si>
  <si>
    <t>05.03.904</t>
  </si>
  <si>
    <t>05.03.905</t>
  </si>
  <si>
    <t>05.03.906</t>
  </si>
  <si>
    <t>05.06.000</t>
  </si>
  <si>
    <t>05.06.200</t>
  </si>
  <si>
    <t>Lastros</t>
  </si>
  <si>
    <t>05.06.201</t>
  </si>
  <si>
    <t>Objeto: Recuperação de reservatórios e implantação de sistema de aproveitamento de água pluvial</t>
  </si>
  <si>
    <t>05.03.903</t>
  </si>
  <si>
    <t>Furo em concreto para diâmetros maiores que 75mm. AF_05/2015</t>
  </si>
  <si>
    <t>10.001.000011.MAT</t>
  </si>
  <si>
    <t>Lastro de vala com preparo de fundo, largura menor que 1,5 m, com camada de areia, lançamento manual, em local com nível baixo de interferência.</t>
  </si>
  <si>
    <t>Areia grossa - posto jazida/fornecedor (retirado na jazida, sem transporte)</t>
  </si>
  <si>
    <t>Compactador de solos de percussão (soquete) com motor a gasolina 4 tempos, potência 4 cv - chp diurno. Af_08/2015</t>
  </si>
  <si>
    <t>Compactador de solos de percussão (soquete) com motor a gasolina 4 tempos, potência 4 cv - chi diurno. Af_08/2015</t>
  </si>
  <si>
    <t>05.03.907</t>
  </si>
  <si>
    <t>03.00.000</t>
  </si>
  <si>
    <t>FUNDAÇÕES E ESTRUTURAS</t>
  </si>
  <si>
    <t>Pedreiro com encargos complementares</t>
  </si>
  <si>
    <t>03.02.102</t>
  </si>
  <si>
    <t>Armador com encargos complementares</t>
  </si>
  <si>
    <t>Vibrador de imersão, diâmetro de ponteira 45mm, motor elétrico trifásico potência de 2 cv - chp diurno. Af_06/2015</t>
  </si>
  <si>
    <t>Vibrador de imersão, diâmetro de ponteira 45mm, motor elétrico trifásico potência de 2 cv - chi diurno. Af_06/2015</t>
  </si>
  <si>
    <t>CHI</t>
  </si>
  <si>
    <t>Filtro de areia, ref. DFR-22, fab. Dancor</t>
  </si>
  <si>
    <t>CM1271</t>
  </si>
  <si>
    <t>Regularização de superfície de concreto aparente</t>
  </si>
  <si>
    <t>05.03.800</t>
  </si>
  <si>
    <t>Instalação elevatória</t>
  </si>
  <si>
    <t>05.03.801</t>
  </si>
  <si>
    <t>05.03.802</t>
  </si>
  <si>
    <t>05.03.803</t>
  </si>
  <si>
    <t>05.03.804</t>
  </si>
  <si>
    <t>05.03.805</t>
  </si>
  <si>
    <t>05.03.302</t>
  </si>
  <si>
    <t>05.03.303</t>
  </si>
  <si>
    <t>05.03.304</t>
  </si>
  <si>
    <t>05.03.305</t>
  </si>
  <si>
    <t>05.03.306</t>
  </si>
  <si>
    <t>02.02.305</t>
  </si>
  <si>
    <t>02.02.306</t>
  </si>
  <si>
    <t>02.02.307</t>
  </si>
  <si>
    <t>02.02.308</t>
  </si>
  <si>
    <t>02.02.309</t>
  </si>
  <si>
    <t>Tê de redução, PVC, soldável, DN 60mm x 40mm - fornecimento e instalação</t>
  </si>
  <si>
    <t>Adesivo plástico para PVC, frasco 175gr</t>
  </si>
  <si>
    <t>Solução limpadora para PVC, frasco com 1000cm³</t>
  </si>
  <si>
    <t>Bucha de redução de PVC, soldável, longa, com 60 x 40mm, para água fria predial</t>
  </si>
  <si>
    <t>Tê soldável, PVC, 90 graus, 60mm, para água fria predial (NBR 5648)</t>
  </si>
  <si>
    <t>CM1328</t>
  </si>
  <si>
    <t>CM1329</t>
  </si>
  <si>
    <t>Freio d'água Ø150mm, ref. Ecofreio, fab. Ecoracional</t>
  </si>
  <si>
    <t>Sifão ladrão Ø150mm, ref. Eco Extravasor, fab. Ecoracional</t>
  </si>
  <si>
    <t>CM1330</t>
  </si>
  <si>
    <t>CM1331</t>
  </si>
  <si>
    <t>CM1332</t>
  </si>
  <si>
    <t>CM1333</t>
  </si>
  <si>
    <t>Conjunto flutuador com bóia, mangueira de sucção (2,5m) com válvula de retenção, bóia e conexão 2", ref. Eco Sucção 2", fab. Ecoracional</t>
  </si>
  <si>
    <t>Filtro de areia para piscinas, ref. DFR-22, fab. Dancor</t>
  </si>
  <si>
    <t>Filtro clorador para água da chuva, ref. M400, fab. Firme Fortfiber</t>
  </si>
  <si>
    <t>CM1151</t>
  </si>
  <si>
    <t>Hidrômetro ultrassônico DN 32mm, ref. Hydrus, fab. Diehl</t>
  </si>
  <si>
    <t>Hidrômetro ultrassônico DN 40mm, ref. Hydrus, fab. Diehl</t>
  </si>
  <si>
    <t>Torneira de bóia, roscável, 1.1/4", fornecida e instalada em reservação de água. AF_06/2016</t>
  </si>
  <si>
    <t>Torneira de bóia, roscável, 1.1/2", fornecida e instalada em reservação de água. AF_06/2016</t>
  </si>
  <si>
    <t>CM1234</t>
  </si>
  <si>
    <t>Válvula elétrica solenóide Ø1", ref. 100-DVF, fab. Rainbird</t>
  </si>
  <si>
    <t>Fonte para válvula solenóide, entrada 220VAC, saída 24VAC, corrente 1A, fab. Rainbird</t>
  </si>
  <si>
    <t>CM836</t>
  </si>
  <si>
    <t>Conjunto moto-bomba trifásico 220/380V, 3cv, ref. CAM W16, fab. Dancor</t>
  </si>
  <si>
    <t>Cabo singelo de cobre, flexível, classe 4 ou 5, isolação em HEPR, cobertura em PVC-ST2, antichama BWF-b, 0,6/1 kV, 6,00mm²</t>
  </si>
  <si>
    <t>Isolamento de obra com tela plástica com malha de 5mm</t>
  </si>
  <si>
    <t>CM1280</t>
  </si>
  <si>
    <t>Sensor de nível de líquido LA16M-40 com adaptador PVC M16 X 25, fab. Icos</t>
  </si>
  <si>
    <t>Conjunto flutuador com bóia 2", ref. Eco Sucção 2", fab. Ecoracional</t>
  </si>
  <si>
    <t>05.03.817</t>
  </si>
  <si>
    <t>05.03.818</t>
  </si>
  <si>
    <t>05.03.819</t>
  </si>
  <si>
    <t>05.03.820</t>
  </si>
  <si>
    <t>05.03.821</t>
  </si>
  <si>
    <t>05.03.822</t>
  </si>
  <si>
    <t>05.03.823</t>
  </si>
  <si>
    <t>05.06.100</t>
  </si>
  <si>
    <t>Escavação de valas</t>
  </si>
  <si>
    <t>05.06.101</t>
  </si>
  <si>
    <t>05.06.102</t>
  </si>
  <si>
    <t>Montador (tubo aço / equipamentos) com encargos complementares</t>
  </si>
  <si>
    <t>Válvula elétrica solenóide Ø1", ref. 100-DVF, inclusive fonte, fab. Rainbird</t>
  </si>
  <si>
    <t>Niple, PVC, DN 1.1/2" - fornecimento e instalação</t>
  </si>
  <si>
    <t>Niple, PVC, DN 1.1/2"</t>
  </si>
  <si>
    <t>05.03.909</t>
  </si>
  <si>
    <t>03.02.111</t>
  </si>
  <si>
    <t>Argamassa traço 1:4 (cimento e areia média), preparo manual. AF_08/2014</t>
  </si>
  <si>
    <t>05.03.910</t>
  </si>
  <si>
    <t>05.03.911</t>
  </si>
  <si>
    <t>05.03.912</t>
  </si>
  <si>
    <t>Furo em concreto Ø85mm e fechamento com tela para separação atmosférica</t>
  </si>
  <si>
    <t>Furo em concreto para diâmetros menores ou iguais a 40mm. AF_05/2015</t>
  </si>
  <si>
    <t>Furo em concreto para diâmetros maiores que 40mm e menores ou iguais a 75mm. AF_05/2015</t>
  </si>
  <si>
    <t>01.006.000030.SET</t>
  </si>
  <si>
    <t>Corte em concreto com discos diamantados para pisos e lajes profundidade de corte 13 cm</t>
  </si>
  <si>
    <t>05.06.103</t>
  </si>
  <si>
    <t>Corte em concreto com discos diamantados para pisos e lajes</t>
  </si>
  <si>
    <t>01.006.000035.SET</t>
  </si>
  <si>
    <t>Corte em concreto com discos diamantados para pisos e lajes profundidade de corte 5 cm</t>
  </si>
  <si>
    <t>04.01.510</t>
  </si>
  <si>
    <t>Revestimentos de piso</t>
  </si>
  <si>
    <t>04.01.511</t>
  </si>
  <si>
    <t>04.01.512</t>
  </si>
  <si>
    <t>Piso em concreto estrutural de 35MPa, acabamento polido, espessura de 12cm, armado com tela soldada Q196 barra 5mm</t>
  </si>
  <si>
    <t>Piso em concreto 20MPa preparo mecânico, espessura 7cm, armado com tela soldada Q92 barra 4,2mm</t>
  </si>
  <si>
    <t>Tela de çao soldada nervurada CA-60, Q-92, (1,48 kg/m²), diâmetro do fio = 4,2mm, largura = 2,45 x 60m de comprimento, espaçamento da malha = 15 x 15 cm</t>
  </si>
  <si>
    <t>Cimento Portland composto CPII-32</t>
  </si>
  <si>
    <t>Areia média - posto jazida / fornecedor (retirado na jazida, sem transporte)</t>
  </si>
  <si>
    <t>Pedra britada n.1 (9,5 a 19mm) posto pedreira / fornecedor, sem frete</t>
  </si>
  <si>
    <t>Betoneira capacidade nominal de 600 l, capacidade de mistura 360 l, motor elétrico trifásico potência de 4cv, sem carregador - chp diurno. AF_11/2014</t>
  </si>
  <si>
    <t>Betoneira capacidade nominal de 600 l, capacidade de mistura 360 l, motor elétrico trifásico potência de 4cv, sem carregador - chi diurno. AF_11/2014</t>
  </si>
  <si>
    <t>Operador de betoneira estacionária / misturador com encargos complementares</t>
  </si>
  <si>
    <t>CM1335</t>
  </si>
  <si>
    <t>Reservatório em plástivo reforçado com fibra de vidro (P.R.F.V.) de 5.000 L, fab. Bakof Tec</t>
  </si>
  <si>
    <t>Impermeabilização de superfície com argamassa polimérica bicomponete, composta por 2 demaõs semi-flexível e 4 demãos flexivel, reforçado com véu de poliéster</t>
  </si>
  <si>
    <t>CM611</t>
  </si>
  <si>
    <t>Véu de poliéster</t>
  </si>
  <si>
    <t>CM832</t>
  </si>
  <si>
    <t>Revestimento impermeabilizante flexível, bicomponente, à base de resinas termoplásticas e cimentos com aditivos e incorporação de fibras sintéticas, Viaplus 7000</t>
  </si>
  <si>
    <t>CM1336</t>
  </si>
  <si>
    <t>Revestimento impermeabilizante semi-flexível, bicomponente - à base de cimentos especiais, adtivos minerais e polímeros, Viaplus 1000</t>
  </si>
  <si>
    <t>02.01.401</t>
  </si>
  <si>
    <t>Bomba centrífuga trifásica 220/380V, 3cv, ref. CAM W16, fab. Dancor</t>
  </si>
  <si>
    <t>Limpeza de superfície com jato de alta pressão</t>
  </si>
  <si>
    <t>Escarificação de laje de forma mecanizada, utilizando martelete rompedor, sem reaproveitamento</t>
  </si>
  <si>
    <t>Martelete ou rompedor pneumático manual, 28 kg, com silenciador - chp diurno.</t>
  </si>
  <si>
    <t>Martelete ou rompedor pneumático manual, 28 kg, com silenciador - chi diurno.</t>
  </si>
  <si>
    <t>Ponteiro para martelo rompedor, Ø28mm, comp. 520mm, encaixe sextavado</t>
  </si>
  <si>
    <t>Demolição de lajes, de forma mecanizada com martelete, sem reaproveitamento</t>
  </si>
  <si>
    <t>CM1337</t>
  </si>
  <si>
    <t>Demolição de argamassas, de forma manual, sem reaproveitamento. AF_12/2017</t>
  </si>
  <si>
    <t>Remoção de sistema impermeabilizante</t>
  </si>
  <si>
    <t>Local: Quadra 1, Lotes 860, 880 e 900, Setor Industrial Leste, Gama-DF</t>
  </si>
  <si>
    <t>Base em concreto 25MPa preparo mecânico, e=10cm, armado com tela soldada</t>
  </si>
  <si>
    <t>Concretagem de vigas e lajes, fck=30 MPa, para qualquer tipo de laje com baldes em edificação de multipavimentos até 04 andares, com área média de lajes menor ou igual a 20 m² - lançamento, adensamento e acabamento</t>
  </si>
  <si>
    <t>Graute fck=25 MPa; traço 1:0,02:1,2:1,5 (cimento/ cal/ areia grossa/ brita 0) - preparo mecânico com betoneira 400 l</t>
  </si>
  <si>
    <t>Concreto fck = 25MPa, traço 1:2,3:2,7 (cimento/ areia média/ brita 1)  - preparo mecânico com betoneira 600 l</t>
  </si>
  <si>
    <t>Concreto Fck = 20 MPa, traço 1:2,7:3 (cimento / areia média / brita 1) - preparo mecânico com betoneira 600l. AF_07/2016</t>
  </si>
  <si>
    <t>Alvenaria de blocos de concreto estrutural 14x19x39 cm, (espessura 14 cm), fbk = 4,5 MPa, para paredes com área líquida maior ou igual a 6m², sem vãos, utilizando colher de pedreiro. Af_12/2014</t>
  </si>
  <si>
    <t>Concreto fck = 30MPa, traço 1:2,1:2,5 (cimento/ areia média/ brita 1)  - preparo mecânico com betoneira 600 l</t>
  </si>
  <si>
    <t>Armação de pilar ou viga de uma estrutura convencional de concreto armado em uma edificação térrea ou sobrado utilizando aço CA-50 de 10,0 mm - montagem</t>
  </si>
  <si>
    <t>Armação de pilar ou viga de uma estrutura convencional de concreto armado em uma edificação térrea ou sobrado utilizando aço CA-50 de 16 mm - montagem</t>
  </si>
  <si>
    <t>Furo e colagem da armação dos cantos com adesivo estrutural Ø6,3mm</t>
  </si>
  <si>
    <t>03.02.112</t>
  </si>
  <si>
    <t>Furo e colagem da armação dos cantos com adesivo estrutural Ø8,00mm</t>
  </si>
  <si>
    <t>03.02.113</t>
  </si>
  <si>
    <t>03.02.114</t>
  </si>
  <si>
    <t>Furo e colagem da armação dos cantos com adesivo estrutural Ø12,5mm</t>
  </si>
  <si>
    <t>Furo e colagem da armação dos cantos com adesivo estrutural Ø16,0mm</t>
  </si>
  <si>
    <t>01.006.000018.SET</t>
  </si>
  <si>
    <t>Furo em concreto com broca de widia, utilizando martele elétrico Ø 5/8" profundidade 10 cm</t>
  </si>
  <si>
    <t>Furo em concreto com broca de widia, utilizando martele elétrico Ø 3/4" profundidade 10 cm</t>
  </si>
  <si>
    <t>01.006.000019.SET</t>
  </si>
  <si>
    <t>Pintura esmalte sobre tubulação de PVC, intervalo de Ø 20mm - 150mm, 2 demãos</t>
  </si>
  <si>
    <t>05.03.321</t>
  </si>
  <si>
    <t>05.03.322</t>
  </si>
  <si>
    <t>05.03.323</t>
  </si>
  <si>
    <t>Tubo de PVC para rede coletora de esgoto de parede maciça, DN 200mm, junta elástica, instalado em local com nível baixo de interferências - fornecimento e assentamento. AF_06/2015</t>
  </si>
  <si>
    <t>(Composição representativa) do serviço de instalação de tubos de PVC, série R, água pluvial, DN 75mm (instalado em ramal de encaminhamento, ou condutores verticais), inclusive conexões, cortes e fixações, para prédios. AF_10/2015</t>
  </si>
  <si>
    <t>(Composição representativa) do serviço de instalação de tubos de PVC, soldável, água fria, DN 20mm (instalado em ramal, sub-ramal ou ramal de distribuição), inclusive conexões, cortes e fixações, para prédios. AF_10/2015</t>
  </si>
  <si>
    <t>Registro de gaveta bruto, latão, roscável, 3/4", com acabamento e canopla cromados. Fornecido e instalado em ramal de água. AF_12/2014</t>
  </si>
  <si>
    <t>Registro de gaveta bruto, latão, roscável, 1/2", com acabamento e canopla cromados. Fornecido e instalado em ramal de água. AF_12/2014</t>
  </si>
  <si>
    <t>Registro de gaveta bruto, latão, roscável, 4", instalado em reservação de água de edificação que possua reservatório de fibra/fibrocimetno - fornecimento e instalação. AF_06/2016</t>
  </si>
  <si>
    <t>05.03.324</t>
  </si>
  <si>
    <t>Adaptador com flanges livres, PVC, soldável, DN 110mm x 4, instalado em reservação de água de edificação que possua reservatório de fibra/fibrocimento - fornecimento e instalação. AF_06/2016</t>
  </si>
  <si>
    <t>Sifão ladrão Ø200mm, ref. Eco Extravasor, fab. Ecoracional</t>
  </si>
  <si>
    <t>05.03.824</t>
  </si>
  <si>
    <t>Freio de água Ø 150mm, ref. Ecofreio, fab. Ecoracional</t>
  </si>
  <si>
    <t>CM1339</t>
  </si>
  <si>
    <t>Bomba centrífuga trifásica 220/380V, 1cv, ref. CAM W16, fab. Dancor</t>
  </si>
  <si>
    <t>CM1236</t>
  </si>
  <si>
    <t>Conjunto moto-bomba trifásico 220/380V, 1cv, ref. CAM W16 Dancor</t>
  </si>
  <si>
    <t>Clorador de passagem para pastilhas, vazão de 20m³/h, pressão máxima de 6,0 kgf/cm², entrada e saída de 32mm, ref. Dosaclor BP 15, fab. Aguazul</t>
  </si>
  <si>
    <t>CM1340</t>
  </si>
  <si>
    <t>CM1341</t>
  </si>
  <si>
    <t>Reservatório de 5.000 litros em plástico reforçado com fibra de vidro (P.R.F.V)</t>
  </si>
  <si>
    <t>Reservatório de 1.000 litros em polietileno</t>
  </si>
  <si>
    <t>Reservatório de 2.350 litros em polietileno, fab. Bakof</t>
  </si>
  <si>
    <t>Caixa d'água em polietileno 1.000 litros, com tampa</t>
  </si>
  <si>
    <t>05.03.825</t>
  </si>
  <si>
    <t>Hidrômetro ultrassônico DN 20mm, ref. Hydrus, fab. Diehl</t>
  </si>
  <si>
    <t>CM1342</t>
  </si>
  <si>
    <t>CM1273</t>
  </si>
  <si>
    <t>Hidrômetro Woltmann, diâmetro DN65, ref. H5000, fab. Honeywell Elster</t>
  </si>
  <si>
    <t>Hidrômetro Woltmann de 2", ref. H5000, fab. Honeywell Elster</t>
  </si>
  <si>
    <t>Hidrômetro Woltmann de 2.1/2", ref. H5000, fab. Honeywell Elster</t>
  </si>
  <si>
    <t>05.03.826</t>
  </si>
  <si>
    <t>Niple, PVC, DN 1" - fornecimento e instalação</t>
  </si>
  <si>
    <t>CM1343</t>
  </si>
  <si>
    <t>Niple, PVC, DN 1"</t>
  </si>
  <si>
    <t>Ralo em ferro fundido cinzento 40 x 40 cm, com caixilho, côncavo, ref. VFSC - 1154, fab. Fundição Vesuvio</t>
  </si>
  <si>
    <t>CM1344</t>
  </si>
  <si>
    <t>05.03.913</t>
  </si>
  <si>
    <t>Tê de redução, PVC, soldável, DN 60mm x 25mm - fornecimento e instalação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</si>
</sst>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dd/mm/yy"/>
    <numFmt numFmtId="172" formatCode="#,##0.0000"/>
    <numFmt numFmtId="173" formatCode="0.0000"/>
    <numFmt numFmtId="174" formatCode="#,##0.00000"/>
    <numFmt numFmtId="175" formatCode="00,000,000"/>
    <numFmt numFmtId="176" formatCode="_(&quot;R$ &quot;* #,##0.00_);_(&quot;R$ &quot;* \(#,##0.00\);_(&quot;R$ &quot;* \-??_);_(@_)"/>
    <numFmt numFmtId="177" formatCode="0.000%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R$ &quot;* #,##0.00_);_(&quot;R$ &quot;* \(#,##0.00\);_(&quot;R$ &quot;* &quot;-&quot;??_);_(@_)"/>
    <numFmt numFmtId="183" formatCode="_(&quot;R$ &quot;* #,##0_);_(&quot;R$ &quot;* \(#,##0\);_(&quot;R$ &quot;* &quot;-&quot;_);_(@_)"/>
    <numFmt numFmtId="184" formatCode="_(* #,##0_);_(* \(#,##0\);_(* &quot;-&quot;_);_(@_)"/>
    <numFmt numFmtId="185" formatCode="&quot;R$ &quot;#,##0;&quot;-R$ &quot;#,##0"/>
    <numFmt numFmtId="186" formatCode="0.000"/>
    <numFmt numFmtId="187" formatCode="_ * #,##0.00_ ;_ * \-#,##0.00_ ;_ * \-??_ ;_ @_ "/>
    <numFmt numFmtId="188" formatCode="_-&quot;R$ &quot;* #,##0.00_-;&quot;-R$ &quot;* #,##0.00_-;_-&quot;R$ &quot;* \-??_-;_-@_-"/>
    <numFmt numFmtId="189" formatCode="_-* #,##0.00_-;\-* #,##0.00_-;_-* \-??_-;_-@_-"/>
    <numFmt numFmtId="190" formatCode="_(* #,##0.00_);_(* \(#,##0.00\);_(* &quot;-&quot;??_);_(@_)"/>
    <numFmt numFmtId="191" formatCode="0.0000%"/>
    <numFmt numFmtId="192" formatCode="0.0"/>
    <numFmt numFmtId="193" formatCode="#,##0.0"/>
    <numFmt numFmtId="194" formatCode="0.0%"/>
    <numFmt numFmtId="195" formatCode="[$-416]dddd\,\ d&quot; de &quot;mmmm&quot; de &quot;yyyy"/>
    <numFmt numFmtId="196" formatCode="* #,##0.00\ ;* \(#,##0.00\);* \-#\ ;@\ "/>
    <numFmt numFmtId="197" formatCode="&quot;Ativado&quot;;&quot;Ativado&quot;;&quot;Desativado&quot;"/>
    <numFmt numFmtId="198" formatCode="0.0000000"/>
    <numFmt numFmtId="199" formatCode="0.000000"/>
    <numFmt numFmtId="200" formatCode="0.00000"/>
    <numFmt numFmtId="201" formatCode="d/m/yy;@"/>
    <numFmt numFmtId="202" formatCode="dd/mm/yy;@"/>
    <numFmt numFmtId="203" formatCode="0.00000000"/>
  </numFmts>
  <fonts count="43">
    <font>
      <sz val="10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8"/>
      <color indexed="8"/>
      <name val="Arial"/>
      <family val="2"/>
    </font>
    <font>
      <u val="single"/>
      <sz val="7.5"/>
      <color indexed="12"/>
      <name val="Arial"/>
      <family val="2"/>
    </font>
    <font>
      <b/>
      <i/>
      <sz val="14"/>
      <name val="Arial"/>
      <family val="2"/>
    </font>
    <font>
      <sz val="4"/>
      <color indexed="8"/>
      <name val="Arial"/>
      <family val="2"/>
    </font>
    <font>
      <sz val="4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2.5"/>
      <color indexed="8"/>
      <name val="Arial"/>
      <family val="2"/>
    </font>
    <font>
      <sz val="1.9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7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2" borderId="2" applyNumberFormat="0" applyAlignment="0" applyProtection="0"/>
    <xf numFmtId="0" fontId="14" fillId="33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32" borderId="2" applyNumberFormat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35" borderId="0" applyNumberFormat="0" applyBorder="0" applyAlignment="0" applyProtection="0"/>
    <xf numFmtId="0" fontId="11" fillId="21" borderId="0" applyNumberFormat="0" applyBorder="0" applyAlignment="0" applyProtection="0"/>
    <xf numFmtId="0" fontId="11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7" borderId="0" applyNumberFormat="0" applyBorder="0" applyAlignment="0" applyProtection="0"/>
    <xf numFmtId="0" fontId="16" fillId="7" borderId="1" applyNumberFormat="0" applyAlignment="0" applyProtection="0"/>
    <xf numFmtId="0" fontId="16" fillId="9" borderId="1" applyNumberFormat="0" applyAlignment="0" applyProtection="0"/>
    <xf numFmtId="170" fontId="1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8" borderId="0" applyNumberFormat="0" applyBorder="0" applyAlignment="0" applyProtection="0"/>
    <xf numFmtId="0" fontId="16" fillId="7" borderId="1" applyNumberFormat="0" applyAlignment="0" applyProtection="0"/>
    <xf numFmtId="0" fontId="15" fillId="0" borderId="3" applyNumberFormat="0" applyFill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0" borderId="7" applyNumberFormat="0" applyFont="0" applyAlignment="0" applyProtection="0"/>
    <xf numFmtId="0" fontId="0" fillId="10" borderId="7" applyNumberFormat="0" applyAlignment="0" applyProtection="0"/>
    <xf numFmtId="0" fontId="0" fillId="40" borderId="7" applyNumberFormat="0" applyFont="0" applyAlignment="0" applyProtection="0"/>
    <xf numFmtId="0" fontId="19" fillId="30" borderId="8" applyNumberFormat="0" applyAlignment="0" applyProtection="0"/>
    <xf numFmtId="9" fontId="0" fillId="0" borderId="0" applyFill="0" applyBorder="0" applyAlignment="0" applyProtection="0"/>
    <xf numFmtId="0" fontId="19" fillId="30" borderId="8" applyNumberFormat="0" applyAlignment="0" applyProtection="0"/>
    <xf numFmtId="0" fontId="19" fillId="31" borderId="8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85" fontId="0" fillId="0" borderId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6" fontId="0" fillId="0" borderId="0" applyFill="0" applyBorder="0" applyAlignment="0" applyProtection="0"/>
    <xf numFmtId="185" fontId="0" fillId="0" borderId="0" applyFill="0" applyBorder="0" applyAlignment="0" applyProtection="0"/>
    <xf numFmtId="19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4" applyNumberFormat="0" applyFill="0" applyAlignment="0" applyProtection="0"/>
    <xf numFmtId="0" fontId="28" fillId="0" borderId="9" applyNumberFormat="0" applyFill="0" applyAlignment="0" applyProtection="0"/>
    <xf numFmtId="0" fontId="24" fillId="0" borderId="5" applyNumberFormat="0" applyFill="0" applyAlignment="0" applyProtection="0"/>
    <xf numFmtId="0" fontId="29" fillId="0" borderId="5" applyNumberFormat="0" applyFill="0" applyAlignment="0" applyProtection="0"/>
    <xf numFmtId="0" fontId="25" fillId="0" borderId="6" applyNumberFormat="0" applyFill="0" applyAlignment="0" applyProtection="0"/>
    <xf numFmtId="0" fontId="30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2" applyNumberFormat="0" applyFill="0" applyAlignment="0" applyProtection="0"/>
    <xf numFmtId="43" fontId="10" fillId="0" borderId="0" applyFont="0" applyFill="0" applyBorder="0" applyAlignment="0" applyProtection="0"/>
    <xf numFmtId="170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137" applyFont="1">
      <alignment/>
      <protection/>
    </xf>
    <xf numFmtId="4" fontId="2" fillId="0" borderId="0" xfId="137" applyNumberFormat="1" applyFont="1">
      <alignment/>
      <protection/>
    </xf>
    <xf numFmtId="0" fontId="2" fillId="0" borderId="0" xfId="137" applyFont="1" applyFill="1">
      <alignment/>
      <protection/>
    </xf>
    <xf numFmtId="0" fontId="0" fillId="0" borderId="0" xfId="137" applyFont="1" applyFill="1">
      <alignment/>
      <protection/>
    </xf>
    <xf numFmtId="0" fontId="2" fillId="0" borderId="0" xfId="137" applyFont="1" applyAlignment="1">
      <alignment horizontal="center"/>
      <protection/>
    </xf>
    <xf numFmtId="0" fontId="0" fillId="0" borderId="0" xfId="136" applyFont="1" applyFill="1">
      <alignment/>
      <protection/>
    </xf>
    <xf numFmtId="0" fontId="0" fillId="0" borderId="0" xfId="136" applyFont="1" applyFill="1" applyAlignment="1">
      <alignment wrapText="1"/>
      <protection/>
    </xf>
    <xf numFmtId="0" fontId="0" fillId="0" borderId="0" xfId="136" applyFont="1" applyFill="1" applyAlignment="1">
      <alignment horizontal="center"/>
      <protection/>
    </xf>
    <xf numFmtId="0" fontId="0" fillId="0" borderId="0" xfId="136">
      <alignment/>
      <protection/>
    </xf>
    <xf numFmtId="4" fontId="4" fillId="41" borderId="13" xfId="136" applyNumberFormat="1" applyFont="1" applyFill="1" applyBorder="1" applyAlignment="1">
      <alignment horizontal="center" vertical="distributed" wrapText="1"/>
      <protection/>
    </xf>
    <xf numFmtId="0" fontId="7" fillId="0" borderId="0" xfId="136" applyFont="1" applyFill="1">
      <alignment/>
      <protection/>
    </xf>
    <xf numFmtId="0" fontId="6" fillId="0" borderId="14" xfId="141" applyNumberFormat="1" applyFont="1" applyFill="1" applyBorder="1" applyAlignment="1">
      <alignment horizontal="center" vertical="distributed" wrapText="1"/>
      <protection/>
    </xf>
    <xf numFmtId="10" fontId="6" fillId="0" borderId="15" xfId="159" applyNumberFormat="1" applyFont="1" applyFill="1" applyBorder="1" applyAlignment="1" applyProtection="1">
      <alignment horizontal="center" vertical="distributed" wrapText="1"/>
      <protection/>
    </xf>
    <xf numFmtId="0" fontId="6" fillId="0" borderId="16" xfId="141" applyNumberFormat="1" applyFont="1" applyFill="1" applyBorder="1" applyAlignment="1">
      <alignment horizontal="center" vertical="distributed" wrapText="1"/>
      <protection/>
    </xf>
    <xf numFmtId="10" fontId="6" fillId="0" borderId="17" xfId="159" applyNumberFormat="1" applyFont="1" applyFill="1" applyBorder="1" applyAlignment="1" applyProtection="1">
      <alignment horizontal="center" vertical="distributed" wrapText="1"/>
      <protection/>
    </xf>
    <xf numFmtId="0" fontId="6" fillId="0" borderId="18" xfId="141" applyNumberFormat="1" applyFont="1" applyFill="1" applyBorder="1" applyAlignment="1">
      <alignment horizontal="center" vertical="distributed" wrapText="1"/>
      <protection/>
    </xf>
    <xf numFmtId="10" fontId="6" fillId="0" borderId="19" xfId="159" applyNumberFormat="1" applyFont="1" applyFill="1" applyBorder="1" applyAlignment="1" applyProtection="1">
      <alignment horizontal="center" vertical="distributed" wrapText="1"/>
      <protection/>
    </xf>
    <xf numFmtId="0" fontId="5" fillId="0" borderId="20" xfId="141" applyNumberFormat="1" applyFont="1" applyFill="1" applyBorder="1" applyAlignment="1">
      <alignment horizontal="center" vertical="distributed" wrapText="1"/>
      <protection/>
    </xf>
    <xf numFmtId="10" fontId="5" fillId="0" borderId="21" xfId="159" applyNumberFormat="1" applyFont="1" applyFill="1" applyBorder="1" applyAlignment="1" applyProtection="1">
      <alignment horizontal="center" vertical="distributed" wrapText="1"/>
      <protection/>
    </xf>
    <xf numFmtId="10" fontId="5" fillId="11" borderId="21" xfId="159" applyNumberFormat="1" applyFont="1" applyFill="1" applyBorder="1" applyAlignment="1" applyProtection="1">
      <alignment horizontal="center" vertical="distributed" wrapText="1"/>
      <protection/>
    </xf>
    <xf numFmtId="0" fontId="4" fillId="0" borderId="22" xfId="137" applyFont="1" applyBorder="1" applyAlignment="1">
      <alignment horizontal="right" vertical="top" wrapText="1"/>
      <protection/>
    </xf>
    <xf numFmtId="4" fontId="4" fillId="0" borderId="16" xfId="137" applyNumberFormat="1" applyFont="1" applyBorder="1" applyAlignment="1">
      <alignment horizontal="right" vertical="top" wrapText="1"/>
      <protection/>
    </xf>
    <xf numFmtId="0" fontId="4" fillId="0" borderId="17" xfId="137" applyFont="1" applyBorder="1" applyAlignment="1">
      <alignment horizontal="right" vertical="top" wrapText="1"/>
      <protection/>
    </xf>
    <xf numFmtId="0" fontId="4" fillId="0" borderId="23" xfId="137" applyFont="1" applyBorder="1" applyAlignment="1">
      <alignment horizontal="right" vertical="top" wrapText="1"/>
      <protection/>
    </xf>
    <xf numFmtId="0" fontId="4" fillId="0" borderId="18" xfId="137" applyFont="1" applyBorder="1" applyAlignment="1">
      <alignment horizontal="right" vertical="top" wrapText="1"/>
      <protection/>
    </xf>
    <xf numFmtId="177" fontId="4" fillId="0" borderId="19" xfId="137" applyNumberFormat="1" applyFont="1" applyBorder="1" applyAlignment="1">
      <alignment horizontal="right" vertical="top" wrapText="1"/>
      <protection/>
    </xf>
    <xf numFmtId="0" fontId="4" fillId="0" borderId="16" xfId="137" applyFont="1" applyBorder="1" applyAlignment="1">
      <alignment horizontal="right" vertical="top" wrapText="1"/>
      <protection/>
    </xf>
    <xf numFmtId="0" fontId="4" fillId="0" borderId="19" xfId="137" applyFont="1" applyBorder="1" applyAlignment="1">
      <alignment horizontal="right" vertical="top" wrapText="1"/>
      <protection/>
    </xf>
    <xf numFmtId="4" fontId="2" fillId="0" borderId="0" xfId="137" applyNumberFormat="1" applyFont="1" applyAlignment="1">
      <alignment horizontal="right"/>
      <protection/>
    </xf>
    <xf numFmtId="0" fontId="6" fillId="0" borderId="24" xfId="135" applyFont="1" applyFill="1" applyBorder="1" applyAlignment="1">
      <alignment horizontal="justify" vertical="distributed" wrapText="1"/>
      <protection/>
    </xf>
    <xf numFmtId="0" fontId="4" fillId="0" borderId="24" xfId="137" applyNumberFormat="1" applyFont="1" applyFill="1" applyBorder="1" applyAlignment="1">
      <alignment horizontal="center" vertical="center" wrapText="1"/>
      <protection/>
    </xf>
    <xf numFmtId="0" fontId="4" fillId="0" borderId="24" xfId="137" applyNumberFormat="1" applyFont="1" applyFill="1" applyBorder="1" applyAlignment="1">
      <alignment horizontal="justify" vertical="center" wrapText="1"/>
      <protection/>
    </xf>
    <xf numFmtId="172" fontId="6" fillId="0" borderId="24" xfId="135" applyNumberFormat="1" applyFont="1" applyFill="1" applyBorder="1" applyAlignment="1">
      <alignment vertical="center" wrapText="1"/>
      <protection/>
    </xf>
    <xf numFmtId="0" fontId="6" fillId="0" borderId="24" xfId="137" applyNumberFormat="1" applyFont="1" applyFill="1" applyBorder="1" applyAlignment="1">
      <alignment horizontal="center" vertical="center" wrapText="1" shrinkToFit="1"/>
      <protection/>
    </xf>
    <xf numFmtId="0" fontId="2" fillId="0" borderId="24" xfId="137" applyFont="1" applyFill="1" applyBorder="1" applyAlignment="1">
      <alignment vertical="center" wrapText="1"/>
      <protection/>
    </xf>
    <xf numFmtId="4" fontId="2" fillId="0" borderId="24" xfId="135" applyNumberFormat="1" applyFont="1" applyFill="1" applyBorder="1" applyAlignment="1">
      <alignment horizontal="right" vertical="center" wrapText="1"/>
      <protection/>
    </xf>
    <xf numFmtId="0" fontId="2" fillId="0" borderId="24" xfId="135" applyNumberFormat="1" applyFont="1" applyFill="1" applyBorder="1" applyAlignment="1">
      <alignment horizontal="center" vertical="center" wrapText="1"/>
      <protection/>
    </xf>
    <xf numFmtId="4" fontId="4" fillId="11" borderId="24" xfId="135" applyNumberFormat="1" applyFont="1" applyFill="1" applyBorder="1" applyAlignment="1">
      <alignment horizontal="center" vertical="center" wrapText="1"/>
      <protection/>
    </xf>
    <xf numFmtId="4" fontId="4" fillId="11" borderId="24" xfId="135" applyNumberFormat="1" applyFont="1" applyFill="1" applyBorder="1" applyAlignment="1">
      <alignment horizontal="justify" vertical="center" wrapText="1"/>
      <protection/>
    </xf>
    <xf numFmtId="172" fontId="4" fillId="11" borderId="24" xfId="137" applyNumberFormat="1" applyFont="1" applyFill="1" applyBorder="1" applyAlignment="1">
      <alignment horizontal="center" vertical="center" wrapText="1"/>
      <protection/>
    </xf>
    <xf numFmtId="4" fontId="2" fillId="42" borderId="24" xfId="135" applyNumberFormat="1" applyFont="1" applyFill="1" applyBorder="1" applyAlignment="1">
      <alignment horizontal="right" vertical="center" wrapText="1"/>
      <protection/>
    </xf>
    <xf numFmtId="4" fontId="4" fillId="11" borderId="24" xfId="137" applyNumberFormat="1" applyFont="1" applyFill="1" applyBorder="1" applyAlignment="1">
      <alignment horizontal="right" vertical="center" wrapText="1"/>
      <protection/>
    </xf>
    <xf numFmtId="4" fontId="4" fillId="0" borderId="24" xfId="135" applyNumberFormat="1" applyFont="1" applyFill="1" applyBorder="1" applyAlignment="1">
      <alignment horizontal="center" vertical="center" wrapText="1"/>
      <protection/>
    </xf>
    <xf numFmtId="172" fontId="4" fillId="0" borderId="24" xfId="137" applyNumberFormat="1" applyFont="1" applyFill="1" applyBorder="1" applyAlignment="1">
      <alignment horizontal="center" vertical="center" wrapText="1"/>
      <protection/>
    </xf>
    <xf numFmtId="4" fontId="4" fillId="0" borderId="24" xfId="137" applyNumberFormat="1" applyFont="1" applyFill="1" applyBorder="1" applyAlignment="1">
      <alignment horizontal="right" vertical="center" wrapText="1"/>
      <protection/>
    </xf>
    <xf numFmtId="4" fontId="4" fillId="11" borderId="24" xfId="137" applyNumberFormat="1" applyFont="1" applyFill="1" applyBorder="1" applyAlignment="1">
      <alignment horizontal="center" vertical="center" wrapText="1"/>
      <protection/>
    </xf>
    <xf numFmtId="0" fontId="3" fillId="0" borderId="25" xfId="137" applyFont="1" applyBorder="1" applyAlignment="1">
      <alignment/>
      <protection/>
    </xf>
    <xf numFmtId="0" fontId="2" fillId="0" borderId="0" xfId="137" applyFont="1" applyFill="1" applyBorder="1">
      <alignment/>
      <protection/>
    </xf>
    <xf numFmtId="0" fontId="0" fillId="0" borderId="0" xfId="137" applyFont="1" applyFill="1" applyBorder="1">
      <alignment/>
      <protection/>
    </xf>
    <xf numFmtId="4" fontId="4" fillId="43" borderId="24" xfId="135" applyNumberFormat="1" applyFont="1" applyFill="1" applyBorder="1" applyAlignment="1">
      <alignment horizontal="center" vertical="center" wrapText="1"/>
      <protection/>
    </xf>
    <xf numFmtId="4" fontId="4" fillId="43" borderId="24" xfId="135" applyNumberFormat="1" applyFont="1" applyFill="1" applyBorder="1" applyAlignment="1">
      <alignment horizontal="justify" vertical="center" wrapText="1"/>
      <protection/>
    </xf>
    <xf numFmtId="172" fontId="4" fillId="43" borderId="24" xfId="137" applyNumberFormat="1" applyFont="1" applyFill="1" applyBorder="1" applyAlignment="1">
      <alignment horizontal="center" vertical="center" wrapText="1"/>
      <protection/>
    </xf>
    <xf numFmtId="4" fontId="4" fillId="43" borderId="24" xfId="137" applyNumberFormat="1" applyFont="1" applyFill="1" applyBorder="1" applyAlignment="1">
      <alignment horizontal="right" vertical="center" wrapText="1"/>
      <protection/>
    </xf>
    <xf numFmtId="4" fontId="4" fillId="44" borderId="24" xfId="135" applyNumberFormat="1" applyFont="1" applyFill="1" applyBorder="1" applyAlignment="1">
      <alignment horizontal="center" vertical="center" wrapText="1"/>
      <protection/>
    </xf>
    <xf numFmtId="4" fontId="4" fillId="44" borderId="24" xfId="135" applyNumberFormat="1" applyFont="1" applyFill="1" applyBorder="1" applyAlignment="1">
      <alignment horizontal="justify" vertical="center" wrapText="1"/>
      <protection/>
    </xf>
    <xf numFmtId="172" fontId="4" fillId="44" borderId="24" xfId="137" applyNumberFormat="1" applyFont="1" applyFill="1" applyBorder="1" applyAlignment="1">
      <alignment horizontal="center" vertical="center" wrapText="1"/>
      <protection/>
    </xf>
    <xf numFmtId="4" fontId="4" fillId="44" borderId="24" xfId="137" applyNumberFormat="1" applyFont="1" applyFill="1" applyBorder="1" applyAlignment="1">
      <alignment horizontal="right" vertical="center" wrapText="1"/>
      <protection/>
    </xf>
    <xf numFmtId="0" fontId="6" fillId="0" borderId="0" xfId="137" applyFont="1" applyFill="1">
      <alignment/>
      <protection/>
    </xf>
    <xf numFmtId="4" fontId="0" fillId="0" borderId="0" xfId="137" applyNumberFormat="1" applyFont="1" applyFill="1">
      <alignment/>
      <protection/>
    </xf>
    <xf numFmtId="10" fontId="0" fillId="0" borderId="0" xfId="148" applyNumberFormat="1" applyFill="1" applyAlignment="1">
      <alignment/>
    </xf>
    <xf numFmtId="4" fontId="4" fillId="44" borderId="26" xfId="135" applyNumberFormat="1" applyFont="1" applyFill="1" applyBorder="1" applyAlignment="1">
      <alignment horizontal="center" vertical="center" wrapText="1"/>
      <protection/>
    </xf>
    <xf numFmtId="4" fontId="4" fillId="44" borderId="26" xfId="135" applyNumberFormat="1" applyFont="1" applyFill="1" applyBorder="1" applyAlignment="1">
      <alignment horizontal="justify" vertical="center" wrapText="1"/>
      <protection/>
    </xf>
    <xf numFmtId="172" fontId="4" fillId="44" borderId="26" xfId="137" applyNumberFormat="1" applyFont="1" applyFill="1" applyBorder="1" applyAlignment="1">
      <alignment horizontal="center" vertical="center" wrapText="1"/>
      <protection/>
    </xf>
    <xf numFmtId="4" fontId="4" fillId="44" borderId="26" xfId="137" applyNumberFormat="1" applyFont="1" applyFill="1" applyBorder="1" applyAlignment="1">
      <alignment horizontal="right" vertical="center" wrapText="1"/>
      <protection/>
    </xf>
    <xf numFmtId="0" fontId="2" fillId="0" borderId="27" xfId="137" applyFont="1" applyBorder="1" applyAlignment="1">
      <alignment/>
      <protection/>
    </xf>
    <xf numFmtId="0" fontId="2" fillId="0" borderId="0" xfId="137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28" xfId="137" applyFont="1" applyBorder="1" applyAlignment="1">
      <alignment horizontal="center"/>
      <protection/>
    </xf>
    <xf numFmtId="0" fontId="2" fillId="0" borderId="27" xfId="137" applyFont="1" applyBorder="1" applyAlignment="1">
      <alignment horizontal="center"/>
      <protection/>
    </xf>
    <xf numFmtId="0" fontId="2" fillId="0" borderId="29" xfId="137" applyFont="1" applyFill="1" applyBorder="1" applyAlignment="1">
      <alignment/>
      <protection/>
    </xf>
    <xf numFmtId="0" fontId="2" fillId="0" borderId="30" xfId="137" applyFont="1" applyFill="1" applyBorder="1" applyAlignment="1">
      <alignment horizontal="center"/>
      <protection/>
    </xf>
    <xf numFmtId="0" fontId="2" fillId="0" borderId="30" xfId="0" applyFont="1" applyBorder="1" applyAlignment="1">
      <alignment/>
    </xf>
    <xf numFmtId="0" fontId="31" fillId="0" borderId="30" xfId="137" applyFont="1" applyFill="1" applyBorder="1" applyAlignment="1">
      <alignment horizontal="center"/>
      <protection/>
    </xf>
    <xf numFmtId="0" fontId="31" fillId="0" borderId="31" xfId="137" applyFont="1" applyFill="1" applyBorder="1" applyAlignment="1">
      <alignment horizontal="center"/>
      <protection/>
    </xf>
    <xf numFmtId="0" fontId="34" fillId="0" borderId="32" xfId="137" applyFont="1" applyBorder="1" applyAlignment="1">
      <alignment/>
      <protection/>
    </xf>
    <xf numFmtId="0" fontId="34" fillId="0" borderId="33" xfId="137" applyFont="1" applyBorder="1" applyAlignment="1">
      <alignment/>
      <protection/>
    </xf>
    <xf numFmtId="4" fontId="34" fillId="0" borderId="33" xfId="137" applyNumberFormat="1" applyFont="1" applyBorder="1" applyAlignment="1">
      <alignment/>
      <protection/>
    </xf>
    <xf numFmtId="4" fontId="34" fillId="0" borderId="34" xfId="137" applyNumberFormat="1" applyFont="1" applyBorder="1" applyAlignment="1">
      <alignment/>
      <protection/>
    </xf>
    <xf numFmtId="0" fontId="34" fillId="0" borderId="0" xfId="137" applyFont="1" applyFill="1">
      <alignment/>
      <protection/>
    </xf>
    <xf numFmtId="0" fontId="35" fillId="0" borderId="0" xfId="137" applyFont="1" applyFill="1">
      <alignment/>
      <protection/>
    </xf>
    <xf numFmtId="0" fontId="33" fillId="0" borderId="35" xfId="137" applyFont="1" applyFill="1" applyBorder="1" applyAlignment="1">
      <alignment/>
      <protection/>
    </xf>
    <xf numFmtId="0" fontId="6" fillId="0" borderId="0" xfId="136" applyFont="1">
      <alignment/>
      <protection/>
    </xf>
    <xf numFmtId="0" fontId="35" fillId="0" borderId="0" xfId="136" applyFont="1">
      <alignment/>
      <protection/>
    </xf>
    <xf numFmtId="0" fontId="6" fillId="0" borderId="36" xfId="141" applyFont="1" applyFill="1" applyBorder="1" applyAlignment="1">
      <alignment vertical="distributed" wrapText="1"/>
      <protection/>
    </xf>
    <xf numFmtId="0" fontId="6" fillId="0" borderId="37" xfId="141" applyFont="1" applyFill="1" applyBorder="1" applyAlignment="1">
      <alignment vertical="distributed" wrapText="1"/>
      <protection/>
    </xf>
    <xf numFmtId="171" fontId="6" fillId="0" borderId="36" xfId="141" applyNumberFormat="1" applyFont="1" applyFill="1" applyBorder="1" applyAlignment="1">
      <alignment vertical="distributed" wrapText="1"/>
      <protection/>
    </xf>
    <xf numFmtId="171" fontId="6" fillId="0" borderId="37" xfId="141" applyNumberFormat="1" applyFont="1" applyFill="1" applyBorder="1" applyAlignment="1">
      <alignment vertical="distributed" wrapText="1"/>
      <protection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38" xfId="141" applyFont="1" applyFill="1" applyBorder="1" applyAlignment="1">
      <alignment vertical="distributed" wrapText="1"/>
      <protection/>
    </xf>
    <xf numFmtId="0" fontId="6" fillId="0" borderId="36" xfId="141" applyFont="1" applyBorder="1" applyAlignment="1">
      <alignment vertical="distributed" wrapText="1"/>
      <protection/>
    </xf>
    <xf numFmtId="0" fontId="6" fillId="0" borderId="39" xfId="141" applyFont="1" applyFill="1" applyBorder="1" applyAlignment="1">
      <alignment vertical="distributed" wrapText="1"/>
      <protection/>
    </xf>
    <xf numFmtId="0" fontId="5" fillId="0" borderId="40" xfId="141" applyFont="1" applyFill="1" applyBorder="1" applyAlignment="1">
      <alignment vertical="distributed" wrapText="1"/>
      <protection/>
    </xf>
    <xf numFmtId="0" fontId="6" fillId="0" borderId="41" xfId="141" applyFont="1" applyFill="1" applyBorder="1" applyAlignment="1">
      <alignment vertical="distributed" wrapText="1"/>
      <protection/>
    </xf>
    <xf numFmtId="0" fontId="6" fillId="0" borderId="37" xfId="141" applyFont="1" applyBorder="1" applyAlignment="1">
      <alignment vertical="distributed" wrapText="1"/>
      <protection/>
    </xf>
    <xf numFmtId="0" fontId="6" fillId="0" borderId="42" xfId="141" applyFont="1" applyFill="1" applyBorder="1" applyAlignment="1">
      <alignment vertical="distributed" wrapText="1"/>
      <protection/>
    </xf>
    <xf numFmtId="0" fontId="5" fillId="0" borderId="43" xfId="141" applyFont="1" applyFill="1" applyBorder="1" applyAlignment="1">
      <alignment vertical="distributed" wrapText="1"/>
      <protection/>
    </xf>
    <xf numFmtId="0" fontId="0" fillId="0" borderId="37" xfId="136" applyFont="1" applyFill="1" applyBorder="1" applyAlignment="1">
      <alignment wrapText="1"/>
      <protection/>
    </xf>
    <xf numFmtId="0" fontId="0" fillId="0" borderId="42" xfId="136" applyFont="1" applyFill="1" applyBorder="1" applyAlignment="1">
      <alignment wrapText="1"/>
      <protection/>
    </xf>
    <xf numFmtId="0" fontId="5" fillId="11" borderId="43" xfId="141" applyFont="1" applyFill="1" applyBorder="1" applyAlignment="1">
      <alignment horizontal="center" vertical="distributed" wrapText="1"/>
      <protection/>
    </xf>
    <xf numFmtId="0" fontId="31" fillId="0" borderId="0" xfId="137" applyFont="1" applyFill="1" applyBorder="1" applyAlignment="1">
      <alignment horizontal="center"/>
      <protection/>
    </xf>
    <xf numFmtId="0" fontId="4" fillId="0" borderId="0" xfId="137" applyFont="1" applyBorder="1" applyAlignment="1">
      <alignment horizontal="justify"/>
      <protection/>
    </xf>
    <xf numFmtId="0" fontId="3" fillId="0" borderId="35" xfId="137" applyFont="1" applyBorder="1" applyAlignment="1">
      <alignment/>
      <protection/>
    </xf>
    <xf numFmtId="0" fontId="31" fillId="0" borderId="28" xfId="137" applyFont="1" applyFill="1" applyBorder="1" applyAlignment="1">
      <alignment horizontal="center"/>
      <protection/>
    </xf>
    <xf numFmtId="0" fontId="4" fillId="0" borderId="28" xfId="137" applyFont="1" applyBorder="1" applyAlignment="1">
      <alignment horizontal="justify"/>
      <protection/>
    </xf>
    <xf numFmtId="0" fontId="34" fillId="0" borderId="30" xfId="137" applyFont="1" applyBorder="1" applyAlignment="1">
      <alignment/>
      <protection/>
    </xf>
    <xf numFmtId="0" fontId="34" fillId="0" borderId="31" xfId="137" applyFont="1" applyBorder="1" applyAlignment="1">
      <alignment/>
      <protection/>
    </xf>
    <xf numFmtId="0" fontId="2" fillId="0" borderId="0" xfId="137" applyFont="1" applyFill="1">
      <alignment/>
      <protection/>
    </xf>
    <xf numFmtId="0" fontId="34" fillId="0" borderId="44" xfId="137" applyFont="1" applyBorder="1" applyAlignment="1">
      <alignment/>
      <protection/>
    </xf>
    <xf numFmtId="0" fontId="35" fillId="0" borderId="45" xfId="137" applyFont="1" applyBorder="1" applyAlignment="1">
      <alignment/>
      <protection/>
    </xf>
    <xf numFmtId="0" fontId="34" fillId="0" borderId="45" xfId="137" applyFont="1" applyBorder="1" applyAlignment="1">
      <alignment horizontal="center"/>
      <protection/>
    </xf>
    <xf numFmtId="4" fontId="34" fillId="0" borderId="46" xfId="137" applyNumberFormat="1" applyFont="1" applyBorder="1" applyAlignment="1">
      <alignment horizontal="right"/>
      <protection/>
    </xf>
    <xf numFmtId="0" fontId="34" fillId="0" borderId="44" xfId="137" applyFont="1" applyBorder="1" applyAlignment="1">
      <alignment/>
      <protection/>
    </xf>
    <xf numFmtId="0" fontId="35" fillId="0" borderId="45" xfId="137" applyFont="1" applyBorder="1" applyAlignment="1">
      <alignment/>
      <protection/>
    </xf>
    <xf numFmtId="0" fontId="34" fillId="0" borderId="45" xfId="137" applyFont="1" applyBorder="1" applyAlignment="1">
      <alignment horizontal="center"/>
      <protection/>
    </xf>
    <xf numFmtId="4" fontId="34" fillId="0" borderId="46" xfId="137" applyNumberFormat="1" applyFont="1" applyBorder="1" applyAlignment="1">
      <alignment horizontal="right"/>
      <protection/>
    </xf>
    <xf numFmtId="0" fontId="34" fillId="0" borderId="45" xfId="137" applyFont="1" applyBorder="1" applyAlignment="1">
      <alignment/>
      <protection/>
    </xf>
    <xf numFmtId="0" fontId="34" fillId="0" borderId="46" xfId="137" applyFont="1" applyBorder="1" applyAlignment="1">
      <alignment/>
      <protection/>
    </xf>
    <xf numFmtId="4" fontId="4" fillId="41" borderId="13" xfId="137" applyNumberFormat="1" applyFont="1" applyFill="1" applyBorder="1" applyAlignment="1">
      <alignment horizontal="center" vertical="center"/>
      <protection/>
    </xf>
    <xf numFmtId="170" fontId="6" fillId="0" borderId="0" xfId="151" applyFont="1" applyFill="1" applyAlignment="1">
      <alignment horizontal="center"/>
    </xf>
    <xf numFmtId="0" fontId="5" fillId="0" borderId="0" xfId="137" applyFont="1" applyBorder="1" applyAlignment="1">
      <alignment horizontal="right" vertical="top" wrapText="1"/>
      <protection/>
    </xf>
    <xf numFmtId="4" fontId="4" fillId="31" borderId="0" xfId="137" applyNumberFormat="1" applyFont="1" applyFill="1" applyBorder="1" applyAlignment="1">
      <alignment horizontal="right" vertical="center" wrapText="1"/>
      <protection/>
    </xf>
    <xf numFmtId="0" fontId="5" fillId="0" borderId="47" xfId="137" applyFont="1" applyBorder="1" applyAlignment="1">
      <alignment horizontal="right" vertical="top" wrapText="1"/>
      <protection/>
    </xf>
    <xf numFmtId="4" fontId="4" fillId="31" borderId="48" xfId="137" applyNumberFormat="1" applyFont="1" applyFill="1" applyBorder="1" applyAlignment="1">
      <alignment horizontal="right" vertical="center" wrapText="1"/>
      <protection/>
    </xf>
    <xf numFmtId="0" fontId="36" fillId="0" borderId="49" xfId="137" applyFont="1" applyBorder="1">
      <alignment/>
      <protection/>
    </xf>
    <xf numFmtId="0" fontId="36" fillId="0" borderId="0" xfId="137" applyFont="1" applyBorder="1">
      <alignment/>
      <protection/>
    </xf>
    <xf numFmtId="0" fontId="2" fillId="0" borderId="0" xfId="137" applyFont="1" applyFill="1" applyAlignment="1">
      <alignment vertical="center"/>
      <protection/>
    </xf>
    <xf numFmtId="4" fontId="4" fillId="0" borderId="24" xfId="135" applyNumberFormat="1" applyFont="1" applyFill="1" applyBorder="1" applyAlignment="1">
      <alignment horizontal="right" vertical="center" wrapText="1"/>
      <protection/>
    </xf>
    <xf numFmtId="0" fontId="4" fillId="0" borderId="24" xfId="135" applyNumberFormat="1" applyFont="1" applyFill="1" applyBorder="1" applyAlignment="1">
      <alignment horizontal="center" vertical="center" wrapText="1"/>
      <protection/>
    </xf>
    <xf numFmtId="0" fontId="6" fillId="0" borderId="36" xfId="136" applyFont="1" applyFill="1" applyBorder="1" applyAlignment="1">
      <alignment wrapText="1"/>
      <protection/>
    </xf>
    <xf numFmtId="0" fontId="6" fillId="0" borderId="39" xfId="136" applyFont="1" applyFill="1" applyBorder="1" applyAlignment="1">
      <alignment wrapText="1"/>
      <protection/>
    </xf>
    <xf numFmtId="4" fontId="6" fillId="0" borderId="50" xfId="137" applyNumberFormat="1" applyFont="1" applyFill="1" applyBorder="1" applyAlignment="1">
      <alignment vertical="center"/>
      <protection/>
    </xf>
    <xf numFmtId="10" fontId="6" fillId="0" borderId="51" xfId="137" applyNumberFormat="1" applyFont="1" applyFill="1" applyBorder="1" applyAlignment="1">
      <alignment vertical="center"/>
      <protection/>
    </xf>
    <xf numFmtId="10" fontId="6" fillId="0" borderId="51" xfId="137" applyNumberFormat="1" applyFont="1" applyFill="1" applyBorder="1" applyAlignment="1">
      <alignment/>
      <protection/>
    </xf>
    <xf numFmtId="4" fontId="4" fillId="0" borderId="22" xfId="137" applyNumberFormat="1" applyFont="1" applyBorder="1" applyAlignment="1">
      <alignment horizontal="right" vertical="top" wrapText="1"/>
      <protection/>
    </xf>
    <xf numFmtId="10" fontId="4" fillId="0" borderId="52" xfId="137" applyNumberFormat="1" applyFont="1" applyBorder="1" applyAlignment="1">
      <alignment horizontal="right" vertical="top" wrapText="1"/>
      <protection/>
    </xf>
    <xf numFmtId="10" fontId="4" fillId="0" borderId="23" xfId="137" applyNumberFormat="1" applyFont="1" applyBorder="1" applyAlignment="1">
      <alignment horizontal="right" vertical="top" wrapText="1"/>
      <protection/>
    </xf>
    <xf numFmtId="175" fontId="7" fillId="0" borderId="16" xfId="141" applyNumberFormat="1" applyFont="1" applyFill="1" applyBorder="1" applyAlignment="1">
      <alignment horizontal="center" vertical="distributed"/>
      <protection/>
    </xf>
    <xf numFmtId="0" fontId="7" fillId="0" borderId="53" xfId="141" applyFont="1" applyFill="1" applyBorder="1" applyAlignment="1">
      <alignment vertical="distributed" wrapText="1"/>
      <protection/>
    </xf>
    <xf numFmtId="170" fontId="7" fillId="0" borderId="17" xfId="159" applyFont="1" applyFill="1" applyBorder="1" applyAlignment="1" applyProtection="1">
      <alignment horizontal="center" vertical="distributed"/>
      <protection/>
    </xf>
    <xf numFmtId="175" fontId="5" fillId="0" borderId="14" xfId="141" applyNumberFormat="1" applyFont="1" applyFill="1" applyBorder="1" applyAlignment="1">
      <alignment horizontal="center" vertical="distributed"/>
      <protection/>
    </xf>
    <xf numFmtId="0" fontId="6" fillId="0" borderId="54" xfId="141" applyFont="1" applyFill="1" applyBorder="1" applyAlignment="1">
      <alignment vertical="distributed" wrapText="1"/>
      <protection/>
    </xf>
    <xf numFmtId="170" fontId="7" fillId="0" borderId="15" xfId="159" applyFont="1" applyFill="1" applyBorder="1" applyAlignment="1" applyProtection="1">
      <alignment horizontal="center" vertical="distributed"/>
      <protection/>
    </xf>
    <xf numFmtId="175" fontId="0" fillId="0" borderId="14" xfId="141" applyNumberFormat="1" applyFont="1" applyFill="1" applyBorder="1" applyAlignment="1">
      <alignment horizontal="center" vertical="distributed"/>
      <protection/>
    </xf>
    <xf numFmtId="0" fontId="5" fillId="0" borderId="54" xfId="141" applyFont="1" applyFill="1" applyBorder="1" applyAlignment="1">
      <alignment vertical="distributed" wrapText="1"/>
      <protection/>
    </xf>
    <xf numFmtId="10" fontId="5" fillId="0" borderId="15" xfId="141" applyNumberFormat="1" applyFont="1" applyFill="1" applyBorder="1" applyAlignment="1">
      <alignment horizontal="center" vertical="distributed"/>
      <protection/>
    </xf>
    <xf numFmtId="0" fontId="0" fillId="0" borderId="15" xfId="159" applyNumberFormat="1" applyFont="1" applyFill="1" applyBorder="1" applyAlignment="1" applyProtection="1">
      <alignment horizontal="center" vertical="distributed"/>
      <protection/>
    </xf>
    <xf numFmtId="0" fontId="6" fillId="0" borderId="14" xfId="141" applyNumberFormat="1" applyFont="1" applyFill="1" applyBorder="1" applyAlignment="1">
      <alignment horizontal="center" vertical="distributed"/>
      <protection/>
    </xf>
    <xf numFmtId="171" fontId="6" fillId="0" borderId="54" xfId="141" applyNumberFormat="1" applyFont="1" applyFill="1" applyBorder="1" applyAlignment="1">
      <alignment vertical="distributed" wrapText="1"/>
      <protection/>
    </xf>
    <xf numFmtId="10" fontId="6" fillId="0" borderId="15" xfId="159" applyNumberFormat="1" applyFont="1" applyFill="1" applyBorder="1" applyAlignment="1" applyProtection="1">
      <alignment horizontal="center" vertical="distributed"/>
      <protection/>
    </xf>
    <xf numFmtId="0" fontId="6" fillId="0" borderId="54" xfId="141" applyFont="1" applyBorder="1" applyAlignment="1">
      <alignment vertical="distributed"/>
      <protection/>
    </xf>
    <xf numFmtId="10" fontId="5" fillId="0" borderId="15" xfId="159" applyNumberFormat="1" applyFont="1" applyFill="1" applyBorder="1" applyAlignment="1" applyProtection="1">
      <alignment horizontal="center" vertical="distributed"/>
      <protection/>
    </xf>
    <xf numFmtId="10" fontId="6" fillId="0" borderId="15" xfId="141" applyNumberFormat="1" applyFont="1" applyFill="1" applyBorder="1" applyAlignment="1">
      <alignment horizontal="center" vertical="distributed"/>
      <protection/>
    </xf>
    <xf numFmtId="0" fontId="6" fillId="0" borderId="54" xfId="141" applyFont="1" applyFill="1" applyBorder="1" applyAlignment="1">
      <alignment horizontal="justify" vertical="distributed" wrapText="1"/>
      <protection/>
    </xf>
    <xf numFmtId="0" fontId="0" fillId="0" borderId="15" xfId="141" applyNumberFormat="1" applyFont="1" applyFill="1" applyBorder="1" applyAlignment="1">
      <alignment horizontal="center" vertical="distributed"/>
      <protection/>
    </xf>
    <xf numFmtId="175" fontId="0" fillId="0" borderId="18" xfId="141" applyNumberFormat="1" applyFont="1" applyFill="1" applyBorder="1" applyAlignment="1">
      <alignment horizontal="center" vertical="distributed"/>
      <protection/>
    </xf>
    <xf numFmtId="0" fontId="0" fillId="0" borderId="55" xfId="141" applyFont="1" applyFill="1" applyBorder="1" applyAlignment="1">
      <alignment vertical="distributed" wrapText="1"/>
      <protection/>
    </xf>
    <xf numFmtId="0" fontId="0" fillId="0" borderId="19" xfId="141" applyNumberFormat="1" applyFont="1" applyFill="1" applyBorder="1" applyAlignment="1">
      <alignment horizontal="center" vertical="distributed"/>
      <protection/>
    </xf>
    <xf numFmtId="0" fontId="6" fillId="0" borderId="24" xfId="135" applyFont="1" applyFill="1" applyBorder="1" applyAlignment="1">
      <alignment horizontal="center" vertical="distributed" wrapText="1"/>
      <protection/>
    </xf>
    <xf numFmtId="0" fontId="5" fillId="0" borderId="24" xfId="137" applyNumberFormat="1" applyFont="1" applyFill="1" applyBorder="1" applyAlignment="1">
      <alignment horizontal="center" vertical="center" wrapText="1" shrinkToFit="1"/>
      <protection/>
    </xf>
    <xf numFmtId="49" fontId="4" fillId="44" borderId="24" xfId="135" applyNumberFormat="1" applyFont="1" applyFill="1" applyBorder="1" applyAlignment="1">
      <alignment horizontal="center" vertical="center" wrapText="1"/>
      <protection/>
    </xf>
    <xf numFmtId="49" fontId="4" fillId="42" borderId="24" xfId="137" applyNumberFormat="1" applyFont="1" applyFill="1" applyBorder="1" applyAlignment="1">
      <alignment vertical="center" wrapText="1"/>
      <protection/>
    </xf>
    <xf numFmtId="172" fontId="5" fillId="42" borderId="24" xfId="135" applyNumberFormat="1" applyFont="1" applyFill="1" applyBorder="1" applyAlignment="1">
      <alignment vertical="center" wrapText="1"/>
      <protection/>
    </xf>
    <xf numFmtId="4" fontId="4" fillId="42" borderId="24" xfId="135" applyNumberFormat="1" applyFont="1" applyFill="1" applyBorder="1" applyAlignment="1">
      <alignment horizontal="right" vertical="center" wrapText="1"/>
      <protection/>
    </xf>
    <xf numFmtId="0" fontId="6" fillId="0" borderId="0" xfId="137" applyFont="1" applyFill="1" applyAlignment="1" applyProtection="1">
      <alignment vertical="center"/>
      <protection locked="0"/>
    </xf>
    <xf numFmtId="0" fontId="0" fillId="0" borderId="0" xfId="137" applyFont="1" applyFill="1" applyAlignment="1" applyProtection="1">
      <alignment vertical="center"/>
      <protection locked="0"/>
    </xf>
    <xf numFmtId="0" fontId="35" fillId="0" borderId="0" xfId="137" applyFont="1" applyFill="1" applyAlignment="1" applyProtection="1">
      <alignment vertical="center"/>
      <protection locked="0"/>
    </xf>
    <xf numFmtId="4" fontId="5" fillId="16" borderId="56" xfId="135" applyNumberFormat="1" applyFont="1" applyFill="1" applyBorder="1" applyAlignment="1" applyProtection="1">
      <alignment horizontal="center" vertical="center" wrapText="1"/>
      <protection locked="0"/>
    </xf>
    <xf numFmtId="0" fontId="5" fillId="16" borderId="57" xfId="137" applyFont="1" applyFill="1" applyBorder="1" applyAlignment="1" applyProtection="1">
      <alignment horizontal="center" vertical="center" wrapText="1"/>
      <protection locked="0"/>
    </xf>
    <xf numFmtId="4" fontId="5" fillId="16" borderId="58" xfId="137" applyNumberFormat="1" applyFont="1" applyFill="1" applyBorder="1" applyAlignment="1" applyProtection="1">
      <alignment horizontal="center" vertical="center" wrapText="1"/>
      <protection locked="0"/>
    </xf>
    <xf numFmtId="0" fontId="5" fillId="11" borderId="26" xfId="137" applyFont="1" applyFill="1" applyBorder="1" applyAlignment="1" applyProtection="1">
      <alignment horizontal="center" vertical="center" wrapText="1"/>
      <protection locked="0"/>
    </xf>
    <xf numFmtId="0" fontId="5" fillId="0" borderId="24" xfId="137" applyFont="1" applyFill="1" applyBorder="1" applyAlignment="1" applyProtection="1">
      <alignment horizontal="justify" vertical="center" wrapText="1"/>
      <protection locked="0"/>
    </xf>
    <xf numFmtId="170" fontId="6" fillId="0" borderId="24" xfId="151" applyFont="1" applyFill="1" applyBorder="1" applyAlignment="1" applyProtection="1">
      <alignment horizontal="center" vertical="center" wrapText="1"/>
      <protection locked="0"/>
    </xf>
    <xf numFmtId="0" fontId="2" fillId="0" borderId="0" xfId="137" applyFont="1" applyFill="1" applyAlignment="1" applyProtection="1">
      <alignment vertical="center"/>
      <protection locked="0"/>
    </xf>
    <xf numFmtId="170" fontId="6" fillId="0" borderId="24" xfId="160" applyFont="1" applyFill="1" applyBorder="1" applyAlignment="1" applyProtection="1">
      <alignment horizontal="center" vertical="center" wrapText="1"/>
      <protection locked="0"/>
    </xf>
    <xf numFmtId="0" fontId="2" fillId="0" borderId="0" xfId="137" applyFont="1" applyAlignment="1" applyProtection="1">
      <alignment horizontal="center" vertical="center"/>
      <protection locked="0"/>
    </xf>
    <xf numFmtId="0" fontId="2" fillId="0" borderId="0" xfId="137" applyFont="1" applyAlignment="1" applyProtection="1">
      <alignment vertical="center"/>
      <protection locked="0"/>
    </xf>
    <xf numFmtId="4" fontId="2" fillId="0" borderId="0" xfId="137" applyNumberFormat="1" applyFont="1" applyAlignment="1" applyProtection="1">
      <alignment vertical="center"/>
      <protection locked="0"/>
    </xf>
    <xf numFmtId="4" fontId="4" fillId="0" borderId="24" xfId="137" applyNumberFormat="1" applyFont="1" applyFill="1" applyBorder="1" applyAlignment="1">
      <alignment horizontal="center" vertical="center" wrapText="1"/>
      <protection/>
    </xf>
    <xf numFmtId="0" fontId="4" fillId="43" borderId="24" xfId="135" applyNumberFormat="1" applyFont="1" applyFill="1" applyBorder="1" applyAlignment="1">
      <alignment horizontal="center" vertical="center" wrapText="1"/>
      <protection/>
    </xf>
    <xf numFmtId="0" fontId="4" fillId="42" borderId="24" xfId="135" applyNumberFormat="1" applyFont="1" applyFill="1" applyBorder="1" applyAlignment="1">
      <alignment horizontal="center" vertical="center" wrapText="1"/>
      <protection/>
    </xf>
    <xf numFmtId="0" fontId="2" fillId="0" borderId="0" xfId="137" applyFont="1" applyAlignment="1">
      <alignment horizontal="right"/>
      <protection/>
    </xf>
    <xf numFmtId="0" fontId="4" fillId="42" borderId="24" xfId="137" applyNumberFormat="1" applyFont="1" applyFill="1" applyBorder="1" applyAlignment="1">
      <alignment horizontal="justify" vertical="center" wrapText="1"/>
      <protection/>
    </xf>
    <xf numFmtId="0" fontId="5" fillId="0" borderId="24" xfId="0" applyFont="1" applyFill="1" applyBorder="1" applyAlignment="1" applyProtection="1">
      <alignment horizontal="justify" vertical="center" wrapText="1"/>
      <protection locked="0"/>
    </xf>
    <xf numFmtId="0" fontId="5" fillId="0" borderId="24" xfId="140" applyFont="1" applyFill="1" applyBorder="1" applyAlignment="1" applyProtection="1">
      <alignment horizontal="justify" vertical="center" wrapText="1"/>
      <protection locked="0"/>
    </xf>
    <xf numFmtId="172" fontId="4" fillId="0" borderId="24" xfId="135" applyNumberFormat="1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0" xfId="137" applyFont="1" applyFill="1" applyBorder="1" applyAlignment="1">
      <alignment horizontal="center"/>
      <protection/>
    </xf>
    <xf numFmtId="0" fontId="3" fillId="0" borderId="59" xfId="137" applyFont="1" applyBorder="1" applyAlignment="1">
      <alignment/>
      <protection/>
    </xf>
    <xf numFmtId="0" fontId="31" fillId="0" borderId="27" xfId="137" applyFont="1" applyFill="1" applyBorder="1" applyAlignment="1">
      <alignment horizontal="center"/>
      <protection/>
    </xf>
    <xf numFmtId="0" fontId="4" fillId="0" borderId="27" xfId="137" applyFont="1" applyBorder="1" applyAlignment="1">
      <alignment horizontal="justify"/>
      <protection/>
    </xf>
    <xf numFmtId="0" fontId="34" fillId="0" borderId="29" xfId="137" applyFont="1" applyBorder="1" applyAlignment="1">
      <alignment/>
      <protection/>
    </xf>
    <xf numFmtId="0" fontId="0" fillId="0" borderId="0" xfId="137" applyFont="1" applyFill="1" applyAlignment="1">
      <alignment vertical="center"/>
      <protection/>
    </xf>
    <xf numFmtId="4" fontId="2" fillId="0" borderId="24" xfId="137" applyNumberFormat="1" applyFont="1" applyFill="1" applyBorder="1" applyAlignment="1">
      <alignment horizontal="right" vertical="center" wrapText="1"/>
      <protection/>
    </xf>
    <xf numFmtId="4" fontId="4" fillId="0" borderId="24" xfId="135" applyNumberFormat="1" applyFont="1" applyFill="1" applyBorder="1" applyAlignment="1">
      <alignment horizontal="left" vertical="center" wrapText="1"/>
      <protection/>
    </xf>
    <xf numFmtId="49" fontId="4" fillId="0" borderId="24" xfId="137" applyNumberFormat="1" applyFont="1" applyFill="1" applyBorder="1" applyAlignment="1">
      <alignment vertical="center" wrapText="1"/>
      <protection/>
    </xf>
    <xf numFmtId="4" fontId="4" fillId="41" borderId="60" xfId="135" applyNumberFormat="1" applyFont="1" applyFill="1" applyBorder="1" applyAlignment="1">
      <alignment horizontal="center" vertical="distributed" wrapText="1"/>
      <protection/>
    </xf>
    <xf numFmtId="0" fontId="4" fillId="41" borderId="60" xfId="137" applyFont="1" applyFill="1" applyBorder="1" applyAlignment="1">
      <alignment horizontal="center" vertical="distributed" wrapText="1"/>
      <protection/>
    </xf>
    <xf numFmtId="4" fontId="5" fillId="41" borderId="60" xfId="137" applyNumberFormat="1" applyFont="1" applyFill="1" applyBorder="1" applyAlignment="1">
      <alignment horizontal="center" vertical="distributed" wrapText="1"/>
      <protection/>
    </xf>
    <xf numFmtId="4" fontId="4" fillId="41" borderId="60" xfId="137" applyNumberFormat="1" applyFont="1" applyFill="1" applyBorder="1" applyAlignment="1">
      <alignment horizontal="center" vertical="distributed" wrapText="1"/>
      <protection/>
    </xf>
    <xf numFmtId="0" fontId="5" fillId="44" borderId="24" xfId="137" applyFont="1" applyFill="1" applyBorder="1" applyAlignment="1">
      <alignment horizontal="center" vertical="distributed" wrapText="1"/>
      <protection/>
    </xf>
    <xf numFmtId="49" fontId="4" fillId="44" borderId="24" xfId="137" applyNumberFormat="1" applyFont="1" applyFill="1" applyBorder="1" applyAlignment="1">
      <alignment horizontal="center" vertical="distributed" wrapText="1"/>
      <protection/>
    </xf>
    <xf numFmtId="0" fontId="4" fillId="44" borderId="24" xfId="137" applyFont="1" applyFill="1" applyBorder="1" applyAlignment="1">
      <alignment horizontal="justify" vertical="distributed" wrapText="1"/>
      <protection/>
    </xf>
    <xf numFmtId="0" fontId="4" fillId="44" borderId="24" xfId="137" applyFont="1" applyFill="1" applyBorder="1" applyAlignment="1">
      <alignment horizontal="center" vertical="distributed" wrapText="1"/>
      <protection/>
    </xf>
    <xf numFmtId="4" fontId="4" fillId="44" borderId="24" xfId="137" applyNumberFormat="1" applyFont="1" applyFill="1" applyBorder="1" applyAlignment="1">
      <alignment horizontal="right" vertical="distributed" wrapText="1"/>
      <protection/>
    </xf>
    <xf numFmtId="0" fontId="2" fillId="11" borderId="24" xfId="137" applyNumberFormat="1" applyFont="1" applyFill="1" applyBorder="1" applyAlignment="1">
      <alignment horizontal="center" vertical="distributed" wrapText="1"/>
      <protection/>
    </xf>
    <xf numFmtId="49" fontId="5" fillId="11" borderId="24" xfId="143" applyNumberFormat="1" applyFont="1" applyFill="1" applyBorder="1" applyAlignment="1">
      <alignment horizontal="center" vertical="distributed" wrapText="1"/>
      <protection/>
    </xf>
    <xf numFmtId="0" fontId="4" fillId="11" borderId="24" xfId="137" applyFont="1" applyFill="1" applyBorder="1" applyAlignment="1">
      <alignment vertical="distributed" wrapText="1"/>
      <protection/>
    </xf>
    <xf numFmtId="0" fontId="4" fillId="11" borderId="24" xfId="137" applyFont="1" applyFill="1" applyBorder="1" applyAlignment="1">
      <alignment horizontal="center" vertical="distributed" wrapText="1"/>
      <protection/>
    </xf>
    <xf numFmtId="4" fontId="4" fillId="11" borderId="24" xfId="137" applyNumberFormat="1" applyFont="1" applyFill="1" applyBorder="1" applyAlignment="1">
      <alignment horizontal="right" vertical="distributed" wrapText="1"/>
      <protection/>
    </xf>
    <xf numFmtId="0" fontId="5" fillId="42" borderId="24" xfId="137" applyFont="1" applyFill="1" applyBorder="1" applyAlignment="1">
      <alignment horizontal="center" vertical="distributed" wrapText="1"/>
      <protection/>
    </xf>
    <xf numFmtId="49" fontId="4" fillId="42" borderId="24" xfId="137" applyNumberFormat="1" applyFont="1" applyFill="1" applyBorder="1" applyAlignment="1">
      <alignment horizontal="center" vertical="distributed" wrapText="1"/>
      <protection/>
    </xf>
    <xf numFmtId="0" fontId="4" fillId="42" borderId="24" xfId="137" applyFont="1" applyFill="1" applyBorder="1" applyAlignment="1">
      <alignment horizontal="justify" vertical="distributed" wrapText="1"/>
      <protection/>
    </xf>
    <xf numFmtId="0" fontId="4" fillId="42" borderId="24" xfId="137" applyFont="1" applyFill="1" applyBorder="1" applyAlignment="1">
      <alignment horizontal="center" vertical="distributed" wrapText="1"/>
      <protection/>
    </xf>
    <xf numFmtId="4" fontId="4" fillId="42" borderId="24" xfId="137" applyNumberFormat="1" applyFont="1" applyFill="1" applyBorder="1" applyAlignment="1">
      <alignment horizontal="right" vertical="distributed" wrapText="1"/>
      <protection/>
    </xf>
    <xf numFmtId="0" fontId="5" fillId="0" borderId="24" xfId="137" applyFont="1" applyFill="1" applyBorder="1" applyAlignment="1">
      <alignment horizontal="center" vertical="distributed" wrapText="1"/>
      <protection/>
    </xf>
    <xf numFmtId="49" fontId="4" fillId="0" borderId="24" xfId="137" applyNumberFormat="1" applyFont="1" applyFill="1" applyBorder="1" applyAlignment="1">
      <alignment horizontal="center" vertical="distributed" wrapText="1"/>
      <protection/>
    </xf>
    <xf numFmtId="0" fontId="4" fillId="0" borderId="24" xfId="137" applyFont="1" applyFill="1" applyBorder="1" applyAlignment="1">
      <alignment horizontal="justify" vertical="distributed" wrapText="1"/>
      <protection/>
    </xf>
    <xf numFmtId="0" fontId="4" fillId="0" borderId="24" xfId="137" applyFont="1" applyFill="1" applyBorder="1" applyAlignment="1">
      <alignment horizontal="center" vertical="distributed" wrapText="1"/>
      <protection/>
    </xf>
    <xf numFmtId="4" fontId="4" fillId="0" borderId="24" xfId="137" applyNumberFormat="1" applyFont="1" applyFill="1" applyBorder="1" applyAlignment="1">
      <alignment horizontal="right" vertical="distributed" wrapText="1"/>
      <protection/>
    </xf>
    <xf numFmtId="0" fontId="2" fillId="0" borderId="24" xfId="137" applyNumberFormat="1" applyFont="1" applyFill="1" applyBorder="1" applyAlignment="1">
      <alignment horizontal="center" vertical="distributed" wrapText="1"/>
      <protection/>
    </xf>
    <xf numFmtId="49" fontId="2" fillId="0" borderId="24" xfId="137" applyNumberFormat="1" applyFont="1" applyFill="1" applyBorder="1" applyAlignment="1">
      <alignment horizontal="center" vertical="distributed" wrapText="1"/>
      <protection/>
    </xf>
    <xf numFmtId="4" fontId="6" fillId="0" borderId="24" xfId="137" applyNumberFormat="1" applyFont="1" applyFill="1" applyBorder="1" applyAlignment="1">
      <alignment horizontal="right" vertical="distributed" wrapText="1"/>
      <protection/>
    </xf>
    <xf numFmtId="4" fontId="2" fillId="0" borderId="24" xfId="137" applyNumberFormat="1" applyFont="1" applyFill="1" applyBorder="1" applyAlignment="1">
      <alignment horizontal="right" vertical="distributed" wrapText="1"/>
      <protection/>
    </xf>
    <xf numFmtId="0" fontId="2" fillId="45" borderId="24" xfId="137" applyNumberFormat="1" applyFont="1" applyFill="1" applyBorder="1" applyAlignment="1">
      <alignment horizontal="center" vertical="distributed" wrapText="1"/>
      <protection/>
    </xf>
    <xf numFmtId="0" fontId="4" fillId="44" borderId="24" xfId="0" applyFont="1" applyFill="1" applyBorder="1" applyAlignment="1">
      <alignment vertical="distributed"/>
    </xf>
    <xf numFmtId="0" fontId="4" fillId="44" borderId="24" xfId="0" applyNumberFormat="1" applyFont="1" applyFill="1" applyBorder="1" applyAlignment="1">
      <alignment vertical="distributed"/>
    </xf>
    <xf numFmtId="49" fontId="4" fillId="0" borderId="24" xfId="137" applyNumberFormat="1" applyFont="1" applyFill="1" applyBorder="1" applyAlignment="1">
      <alignment horizontal="center" vertical="distributed" wrapText="1"/>
      <protection/>
    </xf>
    <xf numFmtId="0" fontId="4" fillId="0" borderId="24" xfId="137" applyFont="1" applyFill="1" applyBorder="1" applyAlignment="1">
      <alignment vertical="distributed" wrapText="1"/>
      <protection/>
    </xf>
    <xf numFmtId="0" fontId="2" fillId="0" borderId="24" xfId="137" applyFont="1" applyFill="1" applyBorder="1" applyAlignment="1">
      <alignment horizontal="center" vertical="distributed" wrapText="1"/>
      <protection/>
    </xf>
    <xf numFmtId="49" fontId="4" fillId="11" borderId="24" xfId="137" applyNumberFormat="1" applyFont="1" applyFill="1" applyBorder="1" applyAlignment="1">
      <alignment horizontal="center" vertical="distributed" wrapText="1"/>
      <protection/>
    </xf>
    <xf numFmtId="0" fontId="2" fillId="11" borderId="24" xfId="137" applyFont="1" applyFill="1" applyBorder="1" applyAlignment="1">
      <alignment horizontal="center" vertical="distributed" wrapText="1"/>
      <protection/>
    </xf>
    <xf numFmtId="4" fontId="6" fillId="11" borderId="24" xfId="137" applyNumberFormat="1" applyFont="1" applyFill="1" applyBorder="1" applyAlignment="1">
      <alignment horizontal="right" vertical="distributed" wrapText="1"/>
      <protection/>
    </xf>
    <xf numFmtId="0" fontId="4" fillId="0" borderId="24" xfId="137" applyNumberFormat="1" applyFont="1" applyFill="1" applyBorder="1" applyAlignment="1">
      <alignment horizontal="center" vertical="distributed" wrapText="1"/>
      <protection/>
    </xf>
    <xf numFmtId="0" fontId="4" fillId="0" borderId="24" xfId="0" applyFont="1" applyFill="1" applyBorder="1" applyAlignment="1">
      <alignment horizontal="justify" vertical="center"/>
    </xf>
    <xf numFmtId="2" fontId="4" fillId="0" borderId="24" xfId="0" applyNumberFormat="1" applyFont="1" applyFill="1" applyBorder="1" applyAlignment="1">
      <alignment horizontal="center" vertical="center" wrapText="1"/>
    </xf>
    <xf numFmtId="0" fontId="5" fillId="44" borderId="24" xfId="0" applyFont="1" applyFill="1" applyBorder="1" applyAlignment="1">
      <alignment/>
    </xf>
    <xf numFmtId="0" fontId="4" fillId="44" borderId="24" xfId="0" applyFont="1" applyFill="1" applyBorder="1" applyAlignment="1">
      <alignment/>
    </xf>
    <xf numFmtId="0" fontId="4" fillId="44" borderId="24" xfId="0" applyFont="1" applyFill="1" applyBorder="1" applyAlignment="1">
      <alignment/>
    </xf>
    <xf numFmtId="0" fontId="4" fillId="44" borderId="24" xfId="137" applyFont="1" applyFill="1" applyBorder="1" applyAlignment="1">
      <alignment vertical="distributed" wrapText="1"/>
      <protection/>
    </xf>
    <xf numFmtId="4" fontId="34" fillId="0" borderId="33" xfId="137" applyNumberFormat="1" applyFont="1" applyBorder="1" applyAlignment="1">
      <alignment vertical="center"/>
      <protection/>
    </xf>
    <xf numFmtId="4" fontId="4" fillId="41" borderId="60" xfId="137" applyNumberFormat="1" applyFont="1" applyFill="1" applyBorder="1" applyAlignment="1">
      <alignment horizontal="center" vertical="center" wrapText="1"/>
      <protection/>
    </xf>
    <xf numFmtId="4" fontId="4" fillId="42" borderId="24" xfId="137" applyNumberFormat="1" applyFont="1" applyFill="1" applyBorder="1" applyAlignment="1">
      <alignment horizontal="right" vertical="center" wrapText="1"/>
      <protection/>
    </xf>
    <xf numFmtId="4" fontId="4" fillId="0" borderId="24" xfId="137" applyNumberFormat="1" applyFont="1" applyFill="1" applyBorder="1" applyAlignment="1">
      <alignment horizontal="right" vertical="center" wrapText="1"/>
      <protection/>
    </xf>
    <xf numFmtId="4" fontId="6" fillId="0" borderId="24" xfId="135" applyNumberFormat="1" applyFont="1" applyFill="1" applyBorder="1" applyAlignment="1">
      <alignment horizontal="right" vertical="center" wrapText="1"/>
      <protection/>
    </xf>
    <xf numFmtId="4" fontId="6" fillId="0" borderId="24" xfId="137" applyNumberFormat="1" applyFont="1" applyFill="1" applyBorder="1" applyAlignment="1">
      <alignment vertical="center"/>
      <protection/>
    </xf>
    <xf numFmtId="4" fontId="2" fillId="11" borderId="24" xfId="137" applyNumberFormat="1" applyFont="1" applyFill="1" applyBorder="1" applyAlignment="1">
      <alignment horizontal="right" vertical="center" wrapText="1"/>
      <protection/>
    </xf>
    <xf numFmtId="4" fontId="2" fillId="0" borderId="0" xfId="137" applyNumberFormat="1" applyFont="1" applyAlignment="1">
      <alignment horizontal="right" vertical="center"/>
      <protection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4" xfId="135" applyNumberFormat="1" applyFont="1" applyFill="1" applyBorder="1" applyAlignment="1">
      <alignment horizontal="center" vertical="center" wrapText="1" shrinkToFit="1"/>
      <protection/>
    </xf>
    <xf numFmtId="4" fontId="2" fillId="0" borderId="24" xfId="137" applyNumberFormat="1" applyFont="1" applyFill="1" applyBorder="1" applyAlignment="1">
      <alignment horizontal="right" vertical="center" wrapText="1"/>
      <protection/>
    </xf>
    <xf numFmtId="0" fontId="6" fillId="0" borderId="24" xfId="135" applyFont="1" applyFill="1" applyBorder="1" applyAlignment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24" xfId="135" applyFont="1" applyFill="1" applyBorder="1" applyAlignment="1">
      <alignment horizontal="justify" vertical="center" wrapText="1"/>
      <protection/>
    </xf>
    <xf numFmtId="0" fontId="6" fillId="0" borderId="24" xfId="135" applyFont="1" applyFill="1" applyBorder="1" applyAlignment="1">
      <alignment horizontal="center" vertical="center" wrapText="1"/>
      <protection/>
    </xf>
    <xf numFmtId="0" fontId="6" fillId="0" borderId="0" xfId="137" applyFont="1" applyFill="1">
      <alignment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37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justify" vertical="center" wrapText="1"/>
      <protection locked="0"/>
    </xf>
    <xf numFmtId="0" fontId="2" fillId="0" borderId="24" xfId="135" applyNumberFormat="1" applyFont="1" applyFill="1" applyBorder="1" applyAlignment="1">
      <alignment horizontal="justify" vertical="center" wrapText="1"/>
      <protection/>
    </xf>
    <xf numFmtId="4" fontId="4" fillId="0" borderId="0" xfId="137" applyNumberFormat="1" applyFont="1" applyFill="1" applyBorder="1" applyAlignment="1">
      <alignment horizontal="right" vertical="distributed" wrapText="1"/>
      <protection/>
    </xf>
    <xf numFmtId="0" fontId="5" fillId="0" borderId="0" xfId="137" applyFont="1" applyFill="1" applyBorder="1" applyAlignment="1">
      <alignment horizontal="center" vertical="distributed" wrapText="1"/>
      <protection/>
    </xf>
    <xf numFmtId="49" fontId="4" fillId="0" borderId="0" xfId="137" applyNumberFormat="1" applyFont="1" applyFill="1" applyBorder="1" applyAlignment="1">
      <alignment horizontal="center" vertical="distributed" wrapText="1"/>
      <protection/>
    </xf>
    <xf numFmtId="0" fontId="4" fillId="0" borderId="0" xfId="137" applyFont="1" applyFill="1" applyBorder="1" applyAlignment="1">
      <alignment horizontal="justify" vertical="distributed" wrapText="1"/>
      <protection/>
    </xf>
    <xf numFmtId="0" fontId="4" fillId="0" borderId="0" xfId="137" applyFont="1" applyFill="1" applyBorder="1" applyAlignment="1">
      <alignment horizontal="center" vertical="distributed" wrapText="1"/>
      <protection/>
    </xf>
    <xf numFmtId="4" fontId="4" fillId="0" borderId="0" xfId="137" applyNumberFormat="1" applyFont="1" applyFill="1" applyBorder="1" applyAlignment="1">
      <alignment horizontal="right" vertical="center" wrapText="1"/>
      <protection/>
    </xf>
    <xf numFmtId="4" fontId="2" fillId="0" borderId="0" xfId="137" applyNumberFormat="1" applyFont="1" applyFill="1" applyBorder="1" applyAlignment="1">
      <alignment horizontal="right" vertical="distributed" wrapText="1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4" fillId="42" borderId="24" xfId="137" applyNumberFormat="1" applyFont="1" applyFill="1" applyBorder="1" applyAlignment="1">
      <alignment horizontal="center" vertical="distributed" wrapText="1"/>
      <protection/>
    </xf>
    <xf numFmtId="49" fontId="4" fillId="42" borderId="24" xfId="137" applyNumberFormat="1" applyFont="1" applyFill="1" applyBorder="1" applyAlignment="1">
      <alignment horizontal="center" vertical="distributed" wrapText="1"/>
      <protection/>
    </xf>
    <xf numFmtId="0" fontId="4" fillId="42" borderId="24" xfId="137" applyFont="1" applyFill="1" applyBorder="1" applyAlignment="1">
      <alignment horizontal="justify" vertical="distributed" wrapText="1"/>
      <protection/>
    </xf>
    <xf numFmtId="0" fontId="4" fillId="42" borderId="24" xfId="137" applyFont="1" applyFill="1" applyBorder="1" applyAlignment="1">
      <alignment horizontal="center" vertical="distributed" wrapText="1"/>
      <protection/>
    </xf>
    <xf numFmtId="4" fontId="4" fillId="42" borderId="24" xfId="137" applyNumberFormat="1" applyFont="1" applyFill="1" applyBorder="1" applyAlignment="1">
      <alignment horizontal="right" vertical="distributed" wrapText="1"/>
      <protection/>
    </xf>
    <xf numFmtId="4" fontId="4" fillId="42" borderId="24" xfId="137" applyNumberFormat="1" applyFont="1" applyFill="1" applyBorder="1" applyAlignment="1">
      <alignment horizontal="right" vertical="center" wrapText="1"/>
      <protection/>
    </xf>
    <xf numFmtId="4" fontId="4" fillId="41" borderId="56" xfId="135" applyNumberFormat="1" applyFont="1" applyFill="1" applyBorder="1" applyAlignment="1">
      <alignment horizontal="center" vertical="center" wrapText="1"/>
      <protection/>
    </xf>
    <xf numFmtId="0" fontId="4" fillId="41" borderId="57" xfId="137" applyFont="1" applyFill="1" applyBorder="1" applyAlignment="1">
      <alignment horizontal="center" vertical="center" wrapText="1"/>
      <protection/>
    </xf>
    <xf numFmtId="4" fontId="5" fillId="41" borderId="57" xfId="137" applyNumberFormat="1" applyFont="1" applyFill="1" applyBorder="1" applyAlignment="1">
      <alignment horizontal="center" vertical="center" wrapText="1"/>
      <protection/>
    </xf>
    <xf numFmtId="4" fontId="4" fillId="41" borderId="57" xfId="137" applyNumberFormat="1" applyFont="1" applyFill="1" applyBorder="1" applyAlignment="1">
      <alignment horizontal="center" vertical="center" wrapText="1"/>
      <protection/>
    </xf>
    <xf numFmtId="4" fontId="4" fillId="41" borderId="58" xfId="137" applyNumberFormat="1" applyFont="1" applyFill="1" applyBorder="1" applyAlignment="1">
      <alignment horizontal="center" vertical="center" wrapText="1"/>
      <protection/>
    </xf>
    <xf numFmtId="0" fontId="4" fillId="0" borderId="24" xfId="135" applyNumberFormat="1" applyFont="1" applyFill="1" applyBorder="1" applyAlignment="1">
      <alignment horizontal="center" vertical="center" wrapText="1"/>
      <protection/>
    </xf>
    <xf numFmtId="172" fontId="6" fillId="0" borderId="24" xfId="135" applyNumberFormat="1" applyFont="1" applyFill="1" applyBorder="1" applyAlignment="1">
      <alignment vertical="center"/>
      <protection/>
    </xf>
    <xf numFmtId="0" fontId="5" fillId="0" borderId="24" xfId="135" applyFont="1" applyFill="1" applyBorder="1" applyAlignment="1">
      <alignment horizontal="justify" vertical="center" wrapText="1"/>
      <protection/>
    </xf>
    <xf numFmtId="0" fontId="6" fillId="0" borderId="24" xfId="137" applyNumberFormat="1" applyFont="1" applyFill="1" applyBorder="1" applyAlignment="1">
      <alignment horizontal="center" vertical="center"/>
      <protection/>
    </xf>
    <xf numFmtId="0" fontId="6" fillId="0" borderId="24" xfId="137" applyNumberFormat="1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0" xfId="137" applyFont="1" applyFill="1" applyAlignment="1">
      <alignment vertical="center"/>
      <protection/>
    </xf>
    <xf numFmtId="0" fontId="7" fillId="0" borderId="0" xfId="137" applyFont="1" applyFill="1" applyAlignment="1">
      <alignment vertical="center"/>
      <protection/>
    </xf>
    <xf numFmtId="0" fontId="5" fillId="42" borderId="24" xfId="135" applyFont="1" applyFill="1" applyBorder="1" applyAlignment="1">
      <alignment horizontal="justify" vertical="center" wrapText="1"/>
      <protection/>
    </xf>
    <xf numFmtId="0" fontId="5" fillId="42" borderId="24" xfId="135" applyFont="1" applyFill="1" applyBorder="1" applyAlignment="1">
      <alignment horizontal="center" vertical="center" wrapText="1"/>
      <protection/>
    </xf>
    <xf numFmtId="4" fontId="5" fillId="42" borderId="24" xfId="135" applyNumberFormat="1" applyFont="1" applyFill="1" applyBorder="1" applyAlignment="1">
      <alignment horizontal="right" vertical="center" wrapText="1"/>
      <protection/>
    </xf>
    <xf numFmtId="4" fontId="6" fillId="0" borderId="24" xfId="137" applyNumberFormat="1" applyFont="1" applyFill="1" applyBorder="1" applyAlignment="1">
      <alignment horizontal="right" vertical="center" wrapText="1"/>
      <protection/>
    </xf>
    <xf numFmtId="0" fontId="2" fillId="0" borderId="0" xfId="137" applyFont="1" applyAlignment="1">
      <alignment vertical="center"/>
      <protection/>
    </xf>
    <xf numFmtId="0" fontId="2" fillId="0" borderId="0" xfId="137" applyFont="1" applyAlignment="1">
      <alignment vertical="center" wrapText="1"/>
      <protection/>
    </xf>
    <xf numFmtId="0" fontId="2" fillId="0" borderId="0" xfId="137" applyFont="1" applyAlignment="1">
      <alignment horizontal="center" vertical="center"/>
      <protection/>
    </xf>
    <xf numFmtId="4" fontId="2" fillId="0" borderId="0" xfId="137" applyNumberFormat="1" applyFont="1" applyAlignment="1">
      <alignment vertical="center"/>
      <protection/>
    </xf>
    <xf numFmtId="0" fontId="0" fillId="0" borderId="0" xfId="0" applyAlignment="1">
      <alignment horizontal="center" vertical="center"/>
    </xf>
    <xf numFmtId="4" fontId="5" fillId="0" borderId="47" xfId="137" applyNumberFormat="1" applyFont="1" applyBorder="1" applyAlignment="1">
      <alignment horizontal="right" vertical="center" wrapText="1"/>
      <protection/>
    </xf>
    <xf numFmtId="4" fontId="5" fillId="0" borderId="0" xfId="137" applyNumberFormat="1" applyFont="1" applyBorder="1" applyAlignment="1">
      <alignment horizontal="right" vertical="center" wrapText="1"/>
      <protection/>
    </xf>
    <xf numFmtId="0" fontId="2" fillId="0" borderId="0" xfId="137" applyFont="1" applyFill="1" applyBorder="1" applyAlignment="1" applyProtection="1">
      <alignment vertical="center"/>
      <protection locked="0"/>
    </xf>
    <xf numFmtId="4" fontId="0" fillId="0" borderId="24" xfId="0" applyNumberFormat="1" applyFill="1" applyBorder="1" applyAlignment="1">
      <alignment vertical="center"/>
    </xf>
    <xf numFmtId="0" fontId="2" fillId="0" borderId="24" xfId="135" applyFont="1" applyFill="1" applyBorder="1" applyAlignment="1">
      <alignment horizontal="justify" vertical="center" wrapText="1"/>
      <protection/>
    </xf>
    <xf numFmtId="0" fontId="6" fillId="0" borderId="24" xfId="0" applyFont="1" applyFill="1" applyBorder="1" applyAlignment="1">
      <alignment vertical="center"/>
    </xf>
    <xf numFmtId="0" fontId="6" fillId="0" borderId="24" xfId="135" applyNumberFormat="1" applyFont="1" applyFill="1" applyBorder="1" applyAlignment="1">
      <alignment vertical="center"/>
      <protection/>
    </xf>
    <xf numFmtId="4" fontId="6" fillId="0" borderId="24" xfId="137" applyNumberFormat="1" applyFont="1" applyFill="1" applyBorder="1" applyAlignment="1" applyProtection="1">
      <alignment vertical="center" wrapText="1"/>
      <protection locked="0"/>
    </xf>
    <xf numFmtId="0" fontId="6" fillId="0" borderId="0" xfId="137" applyFont="1" applyFill="1" applyBorder="1" applyAlignment="1">
      <alignment horizontal="center" vertical="distributed" wrapText="1"/>
      <protection/>
    </xf>
    <xf numFmtId="49" fontId="2" fillId="0" borderId="0" xfId="137" applyNumberFormat="1" applyFont="1" applyFill="1" applyBorder="1" applyAlignment="1">
      <alignment horizontal="center" vertical="distributed" wrapText="1"/>
      <protection/>
    </xf>
    <xf numFmtId="0" fontId="2" fillId="0" borderId="0" xfId="137" applyFont="1" applyFill="1" applyBorder="1" applyAlignment="1">
      <alignment horizontal="justify" vertical="distributed" wrapText="1"/>
      <protection/>
    </xf>
    <xf numFmtId="0" fontId="2" fillId="0" borderId="0" xfId="137" applyFont="1" applyFill="1" applyBorder="1" applyAlignment="1">
      <alignment horizontal="center" vertical="distributed" wrapText="1"/>
      <protection/>
    </xf>
    <xf numFmtId="4" fontId="2" fillId="0" borderId="0" xfId="137" applyNumberFormat="1" applyFont="1" applyFill="1" applyBorder="1" applyAlignment="1">
      <alignment horizontal="right" vertical="center" wrapText="1"/>
      <protection/>
    </xf>
    <xf numFmtId="4" fontId="6" fillId="0" borderId="24" xfId="137" applyNumberFormat="1" applyFont="1" applyFill="1" applyBorder="1" applyAlignment="1">
      <alignment horizontal="right" vertical="center" wrapText="1"/>
      <protection/>
    </xf>
    <xf numFmtId="0" fontId="2" fillId="0" borderId="22" xfId="137" applyFont="1" applyBorder="1">
      <alignment/>
      <protection/>
    </xf>
    <xf numFmtId="4" fontId="4" fillId="31" borderId="22" xfId="137" applyNumberFormat="1" applyFont="1" applyFill="1" applyBorder="1" applyAlignment="1">
      <alignment horizontal="right" vertical="center" wrapText="1"/>
      <protection/>
    </xf>
    <xf numFmtId="10" fontId="4" fillId="0" borderId="61" xfId="137" applyNumberFormat="1" applyFont="1" applyBorder="1">
      <alignment/>
      <protection/>
    </xf>
    <xf numFmtId="4" fontId="4" fillId="31" borderId="61" xfId="137" applyNumberFormat="1" applyFont="1" applyFill="1" applyBorder="1" applyAlignment="1">
      <alignment horizontal="right" vertical="center" wrapText="1"/>
      <protection/>
    </xf>
    <xf numFmtId="10" fontId="4" fillId="0" borderId="61" xfId="137" applyNumberFormat="1" applyFont="1" applyBorder="1" applyAlignment="1">
      <alignment horizontal="right"/>
      <protection/>
    </xf>
    <xf numFmtId="0" fontId="2" fillId="0" borderId="23" xfId="137" applyFont="1" applyBorder="1">
      <alignment/>
      <protection/>
    </xf>
    <xf numFmtId="4" fontId="4" fillId="31" borderId="23" xfId="137" applyNumberFormat="1" applyFont="1" applyFill="1" applyBorder="1" applyAlignment="1">
      <alignment horizontal="right" vertical="center" wrapText="1"/>
      <protection/>
    </xf>
    <xf numFmtId="0" fontId="5" fillId="44" borderId="26" xfId="137" applyFont="1" applyFill="1" applyBorder="1" applyAlignment="1">
      <alignment horizontal="center" vertical="distributed" wrapText="1"/>
      <protection/>
    </xf>
    <xf numFmtId="49" fontId="4" fillId="44" borderId="26" xfId="137" applyNumberFormat="1" applyFont="1" applyFill="1" applyBorder="1" applyAlignment="1">
      <alignment horizontal="center" vertical="distributed" wrapText="1"/>
      <protection/>
    </xf>
    <xf numFmtId="0" fontId="4" fillId="44" borderId="26" xfId="137" applyFont="1" applyFill="1" applyBorder="1" applyAlignment="1">
      <alignment horizontal="justify" vertical="distributed" wrapText="1"/>
      <protection/>
    </xf>
    <xf numFmtId="0" fontId="4" fillId="44" borderId="26" xfId="137" applyFont="1" applyFill="1" applyBorder="1" applyAlignment="1">
      <alignment horizontal="center" vertical="distributed" wrapText="1"/>
      <protection/>
    </xf>
    <xf numFmtId="4" fontId="4" fillId="44" borderId="26" xfId="137" applyNumberFormat="1" applyFont="1" applyFill="1" applyBorder="1" applyAlignment="1">
      <alignment horizontal="right" vertical="distributed" wrapText="1"/>
      <protection/>
    </xf>
    <xf numFmtId="0" fontId="2" fillId="0" borderId="62" xfId="137" applyNumberFormat="1" applyFont="1" applyFill="1" applyBorder="1" applyAlignment="1">
      <alignment horizontal="center" vertical="distributed" wrapText="1"/>
      <protection/>
    </xf>
    <xf numFmtId="49" fontId="2" fillId="0" borderId="62" xfId="137" applyNumberFormat="1" applyFont="1" applyFill="1" applyBorder="1" applyAlignment="1">
      <alignment horizontal="center" vertical="distributed" wrapText="1"/>
      <protection/>
    </xf>
    <xf numFmtId="0" fontId="6" fillId="0" borderId="62" xfId="135" applyFont="1" applyFill="1" applyBorder="1" applyAlignment="1">
      <alignment horizontal="justify" vertical="distributed" wrapText="1"/>
      <protection/>
    </xf>
    <xf numFmtId="0" fontId="6" fillId="0" borderId="62" xfId="135" applyFont="1" applyFill="1" applyBorder="1" applyAlignment="1">
      <alignment horizontal="center" vertical="distributed" wrapText="1"/>
      <protection/>
    </xf>
    <xf numFmtId="4" fontId="6" fillId="0" borderId="62" xfId="137" applyNumberFormat="1" applyFont="1" applyFill="1" applyBorder="1" applyAlignment="1">
      <alignment horizontal="right" vertical="distributed" wrapText="1"/>
      <protection/>
    </xf>
    <xf numFmtId="4" fontId="6" fillId="0" borderId="62" xfId="137" applyNumberFormat="1" applyFont="1" applyFill="1" applyBorder="1" applyAlignment="1">
      <alignment horizontal="right" vertical="center" wrapText="1"/>
      <protection/>
    </xf>
    <xf numFmtId="4" fontId="2" fillId="0" borderId="62" xfId="137" applyNumberFormat="1" applyFont="1" applyFill="1" applyBorder="1" applyAlignment="1">
      <alignment horizontal="right" vertical="distributed" wrapText="1"/>
      <protection/>
    </xf>
    <xf numFmtId="0" fontId="2" fillId="0" borderId="24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" fontId="5" fillId="11" borderId="26" xfId="135" applyNumberFormat="1" applyFont="1" applyFill="1" applyBorder="1" applyAlignment="1" applyProtection="1">
      <alignment horizontal="center" vertical="center" wrapText="1"/>
      <protection locked="0"/>
    </xf>
    <xf numFmtId="4" fontId="5" fillId="11" borderId="26" xfId="137" applyNumberFormat="1" applyFont="1" applyFill="1" applyBorder="1" applyAlignment="1" applyProtection="1">
      <alignment vertical="center" wrapText="1"/>
      <protection locked="0"/>
    </xf>
    <xf numFmtId="4" fontId="4" fillId="0" borderId="24" xfId="135" applyNumberFormat="1" applyFont="1" applyFill="1" applyBorder="1" applyAlignment="1" applyProtection="1">
      <alignment horizontal="center" vertical="center" wrapText="1"/>
      <protection locked="0"/>
    </xf>
    <xf numFmtId="4" fontId="0" fillId="0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137" applyNumberFormat="1" applyFont="1" applyFill="1" applyBorder="1" applyAlignment="1" applyProtection="1">
      <alignment horizontal="center" vertical="center" wrapText="1" shrinkToFit="1"/>
      <protection locked="0"/>
    </xf>
    <xf numFmtId="4" fontId="37" fillId="0" borderId="24" xfId="137" applyNumberFormat="1" applyFont="1" applyFill="1" applyBorder="1" applyAlignment="1" applyProtection="1">
      <alignment vertical="center" wrapText="1"/>
      <protection locked="0"/>
    </xf>
    <xf numFmtId="4" fontId="5" fillId="11" borderId="24" xfId="135" applyNumberFormat="1" applyFont="1" applyFill="1" applyBorder="1" applyAlignment="1" applyProtection="1">
      <alignment horizontal="center" vertical="center" wrapText="1"/>
      <protection locked="0"/>
    </xf>
    <xf numFmtId="0" fontId="5" fillId="11" borderId="24" xfId="137" applyFont="1" applyFill="1" applyBorder="1" applyAlignment="1" applyProtection="1">
      <alignment horizontal="center" vertical="center" wrapText="1"/>
      <protection locked="0"/>
    </xf>
    <xf numFmtId="4" fontId="5" fillId="11" borderId="24" xfId="137" applyNumberFormat="1" applyFont="1" applyFill="1" applyBorder="1" applyAlignment="1" applyProtection="1">
      <alignment vertical="center" wrapText="1"/>
      <protection locked="0"/>
    </xf>
    <xf numFmtId="4" fontId="5" fillId="45" borderId="50" xfId="137" applyNumberFormat="1" applyFont="1" applyFill="1" applyBorder="1" applyAlignment="1">
      <alignment vertical="center"/>
      <protection/>
    </xf>
    <xf numFmtId="10" fontId="5" fillId="45" borderId="51" xfId="137" applyNumberFormat="1" applyFont="1" applyFill="1" applyBorder="1" applyAlignment="1">
      <alignment vertical="center"/>
      <protection/>
    </xf>
    <xf numFmtId="10" fontId="5" fillId="45" borderId="51" xfId="137" applyNumberFormat="1" applyFont="1" applyFill="1" applyBorder="1" applyAlignment="1">
      <alignment/>
      <protection/>
    </xf>
    <xf numFmtId="0" fontId="33" fillId="0" borderId="35" xfId="137" applyFont="1" applyFill="1" applyBorder="1" applyAlignment="1">
      <alignment horizontal="center"/>
      <protection/>
    </xf>
    <xf numFmtId="0" fontId="4" fillId="0" borderId="27" xfId="137" applyFont="1" applyFill="1" applyBorder="1" applyAlignment="1">
      <alignment horizontal="center"/>
      <protection/>
    </xf>
    <xf numFmtId="0" fontId="4" fillId="0" borderId="28" xfId="137" applyFont="1" applyFill="1" applyBorder="1" applyAlignment="1">
      <alignment horizontal="center"/>
      <protection/>
    </xf>
    <xf numFmtId="0" fontId="35" fillId="0" borderId="59" xfId="142" applyFont="1" applyBorder="1">
      <alignment/>
      <protection/>
    </xf>
    <xf numFmtId="0" fontId="35" fillId="0" borderId="35" xfId="142" applyFont="1" applyBorder="1">
      <alignment/>
      <protection/>
    </xf>
    <xf numFmtId="0" fontId="5" fillId="42" borderId="63" xfId="142" applyFont="1" applyFill="1" applyBorder="1" applyAlignment="1">
      <alignment horizontal="center"/>
      <protection/>
    </xf>
    <xf numFmtId="0" fontId="4" fillId="42" borderId="64" xfId="139" applyFont="1" applyFill="1" applyBorder="1" applyAlignment="1">
      <alignment vertical="distributed" wrapText="1"/>
      <protection/>
    </xf>
    <xf numFmtId="0" fontId="6" fillId="0" borderId="65" xfId="142" applyFont="1" applyBorder="1" applyAlignment="1">
      <alignment horizontal="center"/>
      <protection/>
    </xf>
    <xf numFmtId="0" fontId="6" fillId="0" borderId="66" xfId="142" applyFont="1" applyBorder="1" applyAlignment="1">
      <alignment horizontal="justify" vertical="distributed" wrapText="1"/>
      <protection/>
    </xf>
    <xf numFmtId="0" fontId="6" fillId="0" borderId="67" xfId="142" applyFont="1" applyBorder="1" applyAlignment="1">
      <alignment horizontal="center"/>
      <protection/>
    </xf>
    <xf numFmtId="0" fontId="6" fillId="0" borderId="68" xfId="142" applyFont="1" applyBorder="1" applyAlignment="1">
      <alignment horizontal="justify" vertical="distributed" wrapText="1"/>
      <protection/>
    </xf>
    <xf numFmtId="0" fontId="0" fillId="0" borderId="27" xfId="142" applyBorder="1">
      <alignment/>
      <protection/>
    </xf>
    <xf numFmtId="0" fontId="0" fillId="0" borderId="28" xfId="142" applyBorder="1">
      <alignment/>
      <protection/>
    </xf>
    <xf numFmtId="0" fontId="5" fillId="42" borderId="65" xfId="142" applyFont="1" applyFill="1" applyBorder="1" applyAlignment="1">
      <alignment horizontal="center"/>
      <protection/>
    </xf>
    <xf numFmtId="0" fontId="4" fillId="42" borderId="66" xfId="139" applyFont="1" applyFill="1" applyBorder="1" applyAlignment="1">
      <alignment vertical="distributed" wrapText="1"/>
      <protection/>
    </xf>
    <xf numFmtId="0" fontId="6" fillId="0" borderId="65" xfId="142" applyFont="1" applyFill="1" applyBorder="1" applyAlignment="1">
      <alignment horizontal="center"/>
      <protection/>
    </xf>
    <xf numFmtId="0" fontId="6" fillId="0" borderId="66" xfId="142" applyNumberFormat="1" applyFont="1" applyBorder="1" applyAlignment="1">
      <alignment horizontal="justify" vertical="distributed" wrapText="1"/>
      <protection/>
    </xf>
    <xf numFmtId="0" fontId="5" fillId="42" borderId="65" xfId="0" applyFont="1" applyFill="1" applyBorder="1" applyAlignment="1">
      <alignment horizontal="center"/>
    </xf>
    <xf numFmtId="0" fontId="4" fillId="42" borderId="66" xfId="137" applyFont="1" applyFill="1" applyBorder="1" applyAlignment="1">
      <alignment vertical="distributed" wrapText="1"/>
      <protection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justify" vertical="distributed" wrapText="1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justify" vertical="distributed" wrapText="1"/>
    </xf>
    <xf numFmtId="0" fontId="6" fillId="0" borderId="59" xfId="137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4" fillId="0" borderId="29" xfId="137" applyFont="1" applyFill="1" applyBorder="1" applyAlignment="1">
      <alignment horizontal="center"/>
      <protection/>
    </xf>
    <xf numFmtId="0" fontId="2" fillId="0" borderId="59" xfId="138" applyFont="1" applyBorder="1" applyAlignment="1">
      <alignment horizontal="left"/>
      <protection/>
    </xf>
    <xf numFmtId="0" fontId="2" fillId="0" borderId="69" xfId="138" applyFont="1" applyBorder="1" applyAlignment="1">
      <alignment horizontal="left"/>
      <protection/>
    </xf>
    <xf numFmtId="17" fontId="2" fillId="0" borderId="70" xfId="138" applyNumberFormat="1" applyFont="1" applyBorder="1" applyAlignment="1">
      <alignment horizontal="left"/>
      <protection/>
    </xf>
    <xf numFmtId="0" fontId="2" fillId="0" borderId="35" xfId="138" applyFont="1" applyBorder="1" applyAlignment="1">
      <alignment horizontal="left"/>
      <protection/>
    </xf>
    <xf numFmtId="0" fontId="4" fillId="0" borderId="71" xfId="138" applyNumberFormat="1" applyFont="1" applyBorder="1" applyAlignment="1">
      <alignment horizontal="center" vertical="center"/>
      <protection/>
    </xf>
    <xf numFmtId="4" fontId="34" fillId="0" borderId="45" xfId="137" applyNumberFormat="1" applyFont="1" applyBorder="1" applyAlignment="1">
      <alignment/>
      <protection/>
    </xf>
    <xf numFmtId="4" fontId="34" fillId="0" borderId="45" xfId="137" applyNumberFormat="1" applyFont="1" applyBorder="1" applyAlignment="1">
      <alignment vertical="center"/>
      <protection/>
    </xf>
    <xf numFmtId="0" fontId="33" fillId="0" borderId="59" xfId="137" applyFont="1" applyFill="1" applyBorder="1" applyAlignment="1" applyProtection="1">
      <alignment horizontal="center"/>
      <protection locked="0"/>
    </xf>
    <xf numFmtId="0" fontId="33" fillId="0" borderId="35" xfId="137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7" xfId="137" applyFont="1" applyFill="1" applyBorder="1" applyAlignment="1" applyProtection="1">
      <alignment horizontal="center"/>
      <protection locked="0"/>
    </xf>
    <xf numFmtId="0" fontId="2" fillId="0" borderId="28" xfId="137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/>
      <protection locked="0"/>
    </xf>
    <xf numFmtId="0" fontId="31" fillId="0" borderId="29" xfId="137" applyFont="1" applyFill="1" applyBorder="1" applyAlignment="1" applyProtection="1">
      <alignment horizontal="center"/>
      <protection locked="0"/>
    </xf>
    <xf numFmtId="0" fontId="31" fillId="0" borderId="31" xfId="137" applyFont="1" applyFill="1" applyBorder="1" applyAlignment="1" applyProtection="1">
      <alignment horizontal="center"/>
      <protection locked="0"/>
    </xf>
    <xf numFmtId="4" fontId="2" fillId="0" borderId="35" xfId="137" applyNumberFormat="1" applyFont="1" applyBorder="1" applyAlignment="1" applyProtection="1">
      <alignment vertical="center"/>
      <protection locked="0"/>
    </xf>
    <xf numFmtId="0" fontId="4" fillId="0" borderId="71" xfId="137" applyFont="1" applyFill="1" applyBorder="1" applyAlignment="1">
      <alignment horizontal="center"/>
      <protection/>
    </xf>
    <xf numFmtId="14" fontId="4" fillId="0" borderId="71" xfId="137" applyNumberFormat="1" applyFont="1" applyFill="1" applyBorder="1" applyAlignment="1">
      <alignment horizontal="center"/>
      <protection/>
    </xf>
    <xf numFmtId="0" fontId="4" fillId="0" borderId="31" xfId="137" applyFont="1" applyBorder="1" applyAlignment="1">
      <alignment horizontal="center"/>
      <protection/>
    </xf>
    <xf numFmtId="0" fontId="34" fillId="0" borderId="44" xfId="137" applyFont="1" applyBorder="1" applyAlignment="1" applyProtection="1">
      <alignment/>
      <protection locked="0"/>
    </xf>
    <xf numFmtId="0" fontId="35" fillId="0" borderId="45" xfId="137" applyFont="1" applyBorder="1" applyAlignment="1" applyProtection="1">
      <alignment/>
      <protection locked="0"/>
    </xf>
    <xf numFmtId="0" fontId="34" fillId="0" borderId="45" xfId="137" applyFont="1" applyBorder="1" applyAlignment="1" applyProtection="1">
      <alignment horizontal="center"/>
      <protection locked="0"/>
    </xf>
    <xf numFmtId="4" fontId="34" fillId="0" borderId="46" xfId="137" applyNumberFormat="1" applyFont="1" applyBorder="1" applyAlignment="1" applyProtection="1">
      <alignment horizontal="right"/>
      <protection locked="0"/>
    </xf>
    <xf numFmtId="0" fontId="35" fillId="0" borderId="0" xfId="137" applyNumberFormat="1" applyFont="1" applyFill="1" applyAlignment="1" applyProtection="1">
      <alignment vertical="center"/>
      <protection locked="0"/>
    </xf>
    <xf numFmtId="4" fontId="5" fillId="42" borderId="26" xfId="137" applyNumberFormat="1" applyFont="1" applyFill="1" applyBorder="1" applyAlignment="1" applyProtection="1">
      <alignment vertical="center" wrapText="1"/>
      <protection locked="0"/>
    </xf>
    <xf numFmtId="0" fontId="6" fillId="0" borderId="24" xfId="135" applyFont="1" applyFill="1" applyBorder="1" applyAlignment="1" applyProtection="1">
      <alignment horizontal="center" vertical="center" wrapText="1"/>
      <protection locked="0"/>
    </xf>
    <xf numFmtId="0" fontId="0" fillId="42" borderId="24" xfId="0" applyFill="1" applyBorder="1" applyAlignment="1" applyProtection="1">
      <alignment horizontal="center" vertical="center"/>
      <protection locked="0"/>
    </xf>
    <xf numFmtId="4" fontId="0" fillId="42" borderId="24" xfId="0" applyNumberFormat="1" applyFont="1" applyFill="1" applyBorder="1" applyAlignment="1" applyProtection="1">
      <alignment vertical="center"/>
      <protection locked="0"/>
    </xf>
    <xf numFmtId="0" fontId="2" fillId="0" borderId="70" xfId="138" applyFont="1" applyBorder="1" applyAlignment="1">
      <alignment horizontal="left"/>
      <protection/>
    </xf>
    <xf numFmtId="10" fontId="4" fillId="0" borderId="14" xfId="137" applyNumberFormat="1" applyFont="1" applyBorder="1">
      <alignment/>
      <protection/>
    </xf>
    <xf numFmtId="0" fontId="7" fillId="30" borderId="44" xfId="142" applyFont="1" applyFill="1" applyBorder="1" applyAlignment="1">
      <alignment horizontal="center"/>
      <protection/>
    </xf>
    <xf numFmtId="0" fontId="7" fillId="30" borderId="46" xfId="142" applyFont="1" applyFill="1" applyBorder="1" applyAlignment="1">
      <alignment horizontal="center"/>
      <protection/>
    </xf>
    <xf numFmtId="14" fontId="4" fillId="0" borderId="29" xfId="138" applyNumberFormat="1" applyFont="1" applyBorder="1" applyAlignment="1">
      <alignment horizontal="center" vertical="center"/>
      <protection/>
    </xf>
    <xf numFmtId="14" fontId="4" fillId="0" borderId="31" xfId="138" applyNumberFormat="1" applyFont="1" applyBorder="1" applyAlignment="1">
      <alignment horizontal="center" vertical="center"/>
      <protection/>
    </xf>
    <xf numFmtId="170" fontId="6" fillId="0" borderId="0" xfId="151" applyFont="1" applyFill="1" applyAlignment="1">
      <alignment horizontal="center"/>
    </xf>
    <xf numFmtId="0" fontId="5" fillId="0" borderId="23" xfId="137" applyFont="1" applyBorder="1" applyAlignment="1">
      <alignment horizontal="right" vertical="top" wrapText="1"/>
      <protection/>
    </xf>
    <xf numFmtId="0" fontId="4" fillId="0" borderId="22" xfId="137" applyFont="1" applyBorder="1" applyAlignment="1">
      <alignment horizontal="right" vertical="top" wrapText="1"/>
      <protection/>
    </xf>
    <xf numFmtId="0" fontId="4" fillId="0" borderId="61" xfId="137" applyFont="1" applyBorder="1" applyAlignment="1">
      <alignment horizontal="right" vertical="top" wrapText="1"/>
      <protection/>
    </xf>
    <xf numFmtId="0" fontId="5" fillId="0" borderId="61" xfId="137" applyFont="1" applyBorder="1" applyAlignment="1">
      <alignment horizontal="right" vertical="top" wrapText="1"/>
      <protection/>
    </xf>
    <xf numFmtId="0" fontId="33" fillId="0" borderId="59" xfId="137" applyFont="1" applyFill="1" applyBorder="1" applyAlignment="1">
      <alignment horizontal="center"/>
      <protection/>
    </xf>
    <xf numFmtId="0" fontId="33" fillId="0" borderId="25" xfId="137" applyFont="1" applyFill="1" applyBorder="1" applyAlignment="1">
      <alignment horizontal="center"/>
      <protection/>
    </xf>
    <xf numFmtId="0" fontId="33" fillId="0" borderId="35" xfId="137" applyFont="1" applyFill="1" applyBorder="1" applyAlignment="1">
      <alignment horizontal="center"/>
      <protection/>
    </xf>
    <xf numFmtId="0" fontId="4" fillId="0" borderId="29" xfId="138" applyNumberFormat="1" applyFont="1" applyBorder="1" applyAlignment="1">
      <alignment horizontal="center" vertical="center"/>
      <protection/>
    </xf>
    <xf numFmtId="0" fontId="4" fillId="0" borderId="31" xfId="138" applyNumberFormat="1" applyFont="1" applyBorder="1" applyAlignment="1">
      <alignment horizontal="center" vertical="center"/>
      <protection/>
    </xf>
    <xf numFmtId="0" fontId="4" fillId="0" borderId="29" xfId="137" applyFont="1" applyBorder="1" applyAlignment="1">
      <alignment horizontal="center"/>
      <protection/>
    </xf>
    <xf numFmtId="0" fontId="4" fillId="0" borderId="29" xfId="137" applyFont="1" applyFill="1" applyBorder="1" applyAlignment="1">
      <alignment horizontal="center"/>
      <protection/>
    </xf>
    <xf numFmtId="0" fontId="4" fillId="0" borderId="31" xfId="137" applyFont="1" applyFill="1" applyBorder="1" applyAlignment="1">
      <alignment horizontal="center"/>
      <protection/>
    </xf>
    <xf numFmtId="0" fontId="33" fillId="0" borderId="59" xfId="137" applyFont="1" applyFill="1" applyBorder="1" applyAlignment="1" applyProtection="1">
      <alignment horizontal="left"/>
      <protection locked="0"/>
    </xf>
    <xf numFmtId="0" fontId="33" fillId="0" borderId="35" xfId="137" applyFont="1" applyFill="1" applyBorder="1" applyAlignment="1" applyProtection="1">
      <alignment horizontal="left"/>
      <protection locked="0"/>
    </xf>
    <xf numFmtId="4" fontId="4" fillId="41" borderId="49" xfId="136" applyNumberFormat="1" applyFont="1" applyFill="1" applyBorder="1" applyAlignment="1">
      <alignment horizontal="center" vertical="distributed" wrapText="1"/>
      <protection/>
    </xf>
    <xf numFmtId="4" fontId="4" fillId="41" borderId="48" xfId="136" applyNumberFormat="1" applyFont="1" applyFill="1" applyBorder="1" applyAlignment="1">
      <alignment horizontal="center" vertical="distributed" wrapText="1"/>
      <protection/>
    </xf>
    <xf numFmtId="0" fontId="5" fillId="11" borderId="49" xfId="141" applyFont="1" applyFill="1" applyBorder="1" applyAlignment="1">
      <alignment horizontal="center" vertical="distributed" wrapText="1"/>
      <protection/>
    </xf>
    <xf numFmtId="0" fontId="5" fillId="11" borderId="47" xfId="141" applyFont="1" applyFill="1" applyBorder="1" applyAlignment="1">
      <alignment horizontal="center" vertical="distributed" wrapText="1"/>
      <protection/>
    </xf>
    <xf numFmtId="0" fontId="5" fillId="0" borderId="72" xfId="141" applyFont="1" applyFill="1" applyBorder="1" applyAlignment="1">
      <alignment horizontal="center" vertical="distributed" wrapText="1"/>
      <protection/>
    </xf>
    <xf numFmtId="0" fontId="5" fillId="0" borderId="22" xfId="141" applyFont="1" applyFill="1" applyBorder="1" applyAlignment="1">
      <alignment horizontal="center" vertical="distributed" wrapText="1"/>
      <protection/>
    </xf>
    <xf numFmtId="0" fontId="2" fillId="0" borderId="27" xfId="137" applyFont="1" applyBorder="1" applyAlignment="1">
      <alignment horizontal="left"/>
      <protection/>
    </xf>
    <xf numFmtId="0" fontId="2" fillId="0" borderId="0" xfId="137" applyFont="1" applyBorder="1" applyAlignment="1">
      <alignment horizontal="left"/>
      <protection/>
    </xf>
    <xf numFmtId="0" fontId="2" fillId="0" borderId="28" xfId="137" applyFont="1" applyBorder="1" applyAlignment="1">
      <alignment horizontal="left"/>
      <protection/>
    </xf>
    <xf numFmtId="0" fontId="2" fillId="0" borderId="29" xfId="137" applyFont="1" applyFill="1" applyBorder="1" applyAlignment="1">
      <alignment horizontal="left"/>
      <protection/>
    </xf>
    <xf numFmtId="0" fontId="2" fillId="0" borderId="30" xfId="137" applyFont="1" applyFill="1" applyBorder="1" applyAlignment="1">
      <alignment horizontal="left"/>
      <protection/>
    </xf>
    <xf numFmtId="0" fontId="2" fillId="0" borderId="31" xfId="137" applyFont="1" applyFill="1" applyBorder="1" applyAlignment="1">
      <alignment horizontal="left"/>
      <protection/>
    </xf>
    <xf numFmtId="177" fontId="4" fillId="45" borderId="73" xfId="137" applyNumberFormat="1" applyFont="1" applyFill="1" applyBorder="1" applyAlignment="1">
      <alignment horizontal="center" vertical="center"/>
      <protection/>
    </xf>
    <xf numFmtId="0" fontId="7" fillId="0" borderId="74" xfId="0" applyFont="1" applyBorder="1" applyAlignment="1">
      <alignment horizontal="center" vertical="center"/>
    </xf>
    <xf numFmtId="177" fontId="2" fillId="0" borderId="73" xfId="137" applyNumberFormat="1" applyFont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4" fontId="6" fillId="0" borderId="75" xfId="121" applyNumberFormat="1" applyFont="1" applyFill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2" fillId="0" borderId="77" xfId="137" applyNumberFormat="1" applyFont="1" applyBorder="1" applyAlignment="1">
      <alignment horizontal="justify" vertical="distributed" wrapText="1"/>
      <protection/>
    </xf>
    <xf numFmtId="0" fontId="4" fillId="45" borderId="77" xfId="137" applyNumberFormat="1" applyFont="1" applyFill="1" applyBorder="1" applyAlignment="1">
      <alignment horizontal="justify" vertical="distributed" wrapText="1"/>
      <protection/>
    </xf>
    <xf numFmtId="0" fontId="4" fillId="45" borderId="77" xfId="137" applyNumberFormat="1" applyFont="1" applyFill="1" applyBorder="1" applyAlignment="1">
      <alignment horizontal="justify" vertical="distributed" wrapText="1"/>
      <protection/>
    </xf>
    <xf numFmtId="49" fontId="2" fillId="31" borderId="20" xfId="137" applyNumberFormat="1" applyFont="1" applyFill="1" applyBorder="1" applyAlignment="1">
      <alignment horizontal="center" vertical="distributed" wrapText="1"/>
      <protection/>
    </xf>
    <xf numFmtId="0" fontId="2" fillId="31" borderId="20" xfId="137" applyNumberFormat="1" applyFont="1" applyFill="1" applyBorder="1" applyAlignment="1">
      <alignment horizontal="center" vertical="distributed" wrapText="1"/>
      <protection/>
    </xf>
    <xf numFmtId="49" fontId="4" fillId="46" borderId="20" xfId="137" applyNumberFormat="1" applyFont="1" applyFill="1" applyBorder="1" applyAlignment="1">
      <alignment horizontal="center" vertical="distributed" wrapText="1"/>
      <protection/>
    </xf>
    <xf numFmtId="0" fontId="4" fillId="46" borderId="20" xfId="137" applyNumberFormat="1" applyFont="1" applyFill="1" applyBorder="1" applyAlignment="1">
      <alignment horizontal="center" vertical="distributed" wrapText="1"/>
      <protection/>
    </xf>
    <xf numFmtId="49" fontId="2" fillId="31" borderId="20" xfId="137" applyNumberFormat="1" applyFont="1" applyFill="1" applyBorder="1" applyAlignment="1">
      <alignment horizontal="center" vertical="distributed" wrapText="1"/>
      <protection/>
    </xf>
    <xf numFmtId="0" fontId="2" fillId="31" borderId="20" xfId="137" applyNumberFormat="1" applyFont="1" applyFill="1" applyBorder="1" applyAlignment="1">
      <alignment horizontal="center" vertical="distributed" wrapText="1"/>
      <protection/>
    </xf>
    <xf numFmtId="0" fontId="2" fillId="0" borderId="77" xfId="137" applyNumberFormat="1" applyFont="1" applyBorder="1" applyAlignment="1">
      <alignment horizontal="center" vertical="distributed" wrapText="1"/>
      <protection/>
    </xf>
    <xf numFmtId="4" fontId="5" fillId="45" borderId="75" xfId="121" applyNumberFormat="1" applyFont="1" applyFill="1" applyBorder="1" applyAlignment="1" applyProtection="1">
      <alignment horizontal="center" vertical="center"/>
      <protection/>
    </xf>
    <xf numFmtId="0" fontId="7" fillId="0" borderId="76" xfId="0" applyFont="1" applyBorder="1" applyAlignment="1">
      <alignment horizontal="center" vertical="center"/>
    </xf>
    <xf numFmtId="4" fontId="5" fillId="41" borderId="44" xfId="137" applyNumberFormat="1" applyFont="1" applyFill="1" applyBorder="1" applyAlignment="1">
      <alignment horizontal="center" vertical="center"/>
      <protection/>
    </xf>
    <xf numFmtId="4" fontId="5" fillId="41" borderId="45" xfId="137" applyNumberFormat="1" applyFont="1" applyFill="1" applyBorder="1" applyAlignment="1">
      <alignment horizontal="center" vertical="center"/>
      <protection/>
    </xf>
    <xf numFmtId="4" fontId="5" fillId="41" borderId="46" xfId="137" applyNumberFormat="1" applyFont="1" applyFill="1" applyBorder="1" applyAlignment="1">
      <alignment horizontal="center" vertical="center"/>
      <protection/>
    </xf>
    <xf numFmtId="4" fontId="6" fillId="0" borderId="76" xfId="121" applyNumberFormat="1" applyFont="1" applyFill="1" applyBorder="1" applyAlignment="1" applyProtection="1">
      <alignment horizontal="center" vertical="center"/>
      <protection/>
    </xf>
    <xf numFmtId="0" fontId="4" fillId="41" borderId="78" xfId="137" applyFont="1" applyFill="1" applyBorder="1" applyAlignment="1">
      <alignment horizontal="center" vertical="center" wrapText="1"/>
      <protection/>
    </xf>
    <xf numFmtId="0" fontId="4" fillId="41" borderId="32" xfId="137" applyFont="1" applyFill="1" applyBorder="1" applyAlignment="1">
      <alignment horizontal="center" vertical="center" wrapText="1"/>
      <protection/>
    </xf>
    <xf numFmtId="0" fontId="4" fillId="41" borderId="79" xfId="137" applyFont="1" applyFill="1" applyBorder="1" applyAlignment="1">
      <alignment horizontal="center" vertical="center" wrapText="1"/>
      <protection/>
    </xf>
    <xf numFmtId="0" fontId="4" fillId="41" borderId="80" xfId="137" applyFont="1" applyFill="1" applyBorder="1" applyAlignment="1">
      <alignment horizontal="center" vertical="center" wrapText="1"/>
      <protection/>
    </xf>
    <xf numFmtId="0" fontId="7" fillId="45" borderId="74" xfId="0" applyFont="1" applyFill="1" applyBorder="1" applyAlignment="1">
      <alignment horizontal="center" vertical="center"/>
    </xf>
    <xf numFmtId="0" fontId="7" fillId="45" borderId="76" xfId="0" applyFont="1" applyFill="1" applyBorder="1" applyAlignment="1">
      <alignment horizontal="center" vertical="center"/>
    </xf>
    <xf numFmtId="4" fontId="5" fillId="45" borderId="76" xfId="121" applyNumberFormat="1" applyFont="1" applyFill="1" applyBorder="1" applyAlignment="1" applyProtection="1">
      <alignment horizontal="center" vertical="center"/>
      <protection/>
    </xf>
    <xf numFmtId="49" fontId="2" fillId="31" borderId="81" xfId="137" applyNumberFormat="1" applyFont="1" applyFill="1" applyBorder="1" applyAlignment="1">
      <alignment horizontal="center" vertical="distributed" wrapText="1"/>
      <protection/>
    </xf>
    <xf numFmtId="49" fontId="2" fillId="31" borderId="82" xfId="137" applyNumberFormat="1" applyFont="1" applyFill="1" applyBorder="1" applyAlignment="1">
      <alignment horizontal="center" vertical="distributed" wrapText="1"/>
      <protection/>
    </xf>
    <xf numFmtId="0" fontId="4" fillId="45" borderId="75" xfId="137" applyNumberFormat="1" applyFont="1" applyFill="1" applyBorder="1" applyAlignment="1">
      <alignment horizontal="justify" vertical="distributed" wrapText="1"/>
      <protection/>
    </xf>
    <xf numFmtId="0" fontId="4" fillId="45" borderId="76" xfId="137" applyNumberFormat="1" applyFont="1" applyFill="1" applyBorder="1" applyAlignment="1">
      <alignment horizontal="justify" vertical="distributed" wrapText="1"/>
      <protection/>
    </xf>
    <xf numFmtId="0" fontId="2" fillId="0" borderId="75" xfId="137" applyNumberFormat="1" applyFont="1" applyBorder="1" applyAlignment="1">
      <alignment horizontal="justify" vertical="distributed" wrapText="1"/>
      <protection/>
    </xf>
    <xf numFmtId="0" fontId="2" fillId="0" borderId="76" xfId="137" applyNumberFormat="1" applyFont="1" applyBorder="1" applyAlignment="1">
      <alignment horizontal="justify" vertical="distributed" wrapText="1"/>
      <protection/>
    </xf>
    <xf numFmtId="49" fontId="4" fillId="46" borderId="20" xfId="137" applyNumberFormat="1" applyFont="1" applyFill="1" applyBorder="1" applyAlignment="1">
      <alignment horizontal="center" vertical="distributed" wrapText="1"/>
      <protection/>
    </xf>
    <xf numFmtId="0" fontId="4" fillId="11" borderId="13" xfId="137" applyFont="1" applyFill="1" applyBorder="1" applyAlignment="1">
      <alignment horizontal="center" vertical="distributed" wrapText="1"/>
      <protection/>
    </xf>
  </cellXfs>
  <cellStyles count="1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om" xfId="76"/>
    <cellStyle name="Bom 2" xfId="77"/>
    <cellStyle name="Calculation" xfId="78"/>
    <cellStyle name="Cálculo" xfId="79"/>
    <cellStyle name="Cálculo 2" xfId="80"/>
    <cellStyle name="Cancel 2" xfId="81"/>
    <cellStyle name="Cancel 2 2" xfId="82"/>
    <cellStyle name="Cancel 2_Cronograma" xfId="83"/>
    <cellStyle name="Cancel 4" xfId="84"/>
    <cellStyle name="Cancel_O_Emergencial-1" xfId="85"/>
    <cellStyle name="Célula de Verificação" xfId="86"/>
    <cellStyle name="Célula de Verificação 2" xfId="87"/>
    <cellStyle name="Célula Vinculada" xfId="88"/>
    <cellStyle name="Célula Vinculada 2" xfId="89"/>
    <cellStyle name="Check Cell" xfId="90"/>
    <cellStyle name="Ênfase1" xfId="91"/>
    <cellStyle name="Ênfase1 2" xfId="92"/>
    <cellStyle name="Ênfase2" xfId="93"/>
    <cellStyle name="Ênfase2 2" xfId="94"/>
    <cellStyle name="Ênfase3" xfId="95"/>
    <cellStyle name="Ênfase3 2" xfId="96"/>
    <cellStyle name="Ênfase4" xfId="97"/>
    <cellStyle name="Ênfase4 2" xfId="98"/>
    <cellStyle name="Ênfase5" xfId="99"/>
    <cellStyle name="Ênfase5 2" xfId="100"/>
    <cellStyle name="Ênfase6" xfId="101"/>
    <cellStyle name="Ênfase6 2" xfId="102"/>
    <cellStyle name="Entrada" xfId="103"/>
    <cellStyle name="Entrada 2" xfId="104"/>
    <cellStyle name="Excel Built-in Comma" xfId="105"/>
    <cellStyle name="Excel Built-in Normal" xfId="106"/>
    <cellStyle name="Excel Built-in Separador de milhares_Modelo de planilha orçamento PJ Ceilândia" xfId="107"/>
    <cellStyle name="Explanatory Text" xfId="108"/>
    <cellStyle name="Good" xfId="109"/>
    <cellStyle name="Heading 1" xfId="110"/>
    <cellStyle name="Heading 2" xfId="111"/>
    <cellStyle name="Heading 3" xfId="112"/>
    <cellStyle name="Heading 4" xfId="113"/>
    <cellStyle name="Hiperlink 2" xfId="114"/>
    <cellStyle name="Hyperlink" xfId="115"/>
    <cellStyle name="Followed Hyperlink" xfId="116"/>
    <cellStyle name="Incorreto" xfId="117"/>
    <cellStyle name="Incorreto 2" xfId="118"/>
    <cellStyle name="Input" xfId="119"/>
    <cellStyle name="Linked Cell" xfId="120"/>
    <cellStyle name="Currency" xfId="121"/>
    <cellStyle name="Currency [0]" xfId="122"/>
    <cellStyle name="Neutra" xfId="123"/>
    <cellStyle name="Neutra 2" xfId="124"/>
    <cellStyle name="Neutral" xfId="125"/>
    <cellStyle name="Normal 2" xfId="126"/>
    <cellStyle name="Normal 2 2" xfId="127"/>
    <cellStyle name="Normal 2 2 2" xfId="128"/>
    <cellStyle name="Normal 2 2_Cronograma" xfId="129"/>
    <cellStyle name="Normal 2 3" xfId="130"/>
    <cellStyle name="Normal 2_CCU's" xfId="131"/>
    <cellStyle name="Normal 202" xfId="132"/>
    <cellStyle name="Normal 3" xfId="133"/>
    <cellStyle name="Normal 4" xfId="134"/>
    <cellStyle name="Normal_Modelo de planilha orçamento PJ Ceilândia" xfId="135"/>
    <cellStyle name="Normal_Orç 037_2009 - Ar Condicionado Salas Técnicas - PJ Sobradinho" xfId="136"/>
    <cellStyle name="Normal_Orç 041_2009 Adaptação Copa PJ Ceilândia" xfId="137"/>
    <cellStyle name="Normal_Orç 041_2009 Adaptação Copa PJ Ceilândia_Orçamento Sintético" xfId="138"/>
    <cellStyle name="Normal_Orç 041_2009 Adaptação Copa PJ Ceilândia_Plan1" xfId="139"/>
    <cellStyle name="Normal_Orçamento estimativo" xfId="140"/>
    <cellStyle name="Normal_Plan1" xfId="141"/>
    <cellStyle name="Normal_Plan1_1 2" xfId="142"/>
    <cellStyle name="Normal_Plan1_Orç 041_2009 Adaptação Copa PJ Ceilândia" xfId="143"/>
    <cellStyle name="Nota" xfId="144"/>
    <cellStyle name="Nota 2" xfId="145"/>
    <cellStyle name="Note" xfId="146"/>
    <cellStyle name="Output" xfId="147"/>
    <cellStyle name="Percent" xfId="148"/>
    <cellStyle name="Saída" xfId="149"/>
    <cellStyle name="Saída 2" xfId="150"/>
    <cellStyle name="Comma" xfId="151"/>
    <cellStyle name="Comma [0]" xfId="152"/>
    <cellStyle name="Separador de milhares 2" xfId="153"/>
    <cellStyle name="Separador de milhares 2 2" xfId="154"/>
    <cellStyle name="Separador de milhares 2 2 2" xfId="155"/>
    <cellStyle name="Separador de milhares 2 2_Cronograma" xfId="156"/>
    <cellStyle name="Separador de milhares 2_CCU's" xfId="157"/>
    <cellStyle name="Separador de milhares 3 2" xfId="158"/>
    <cellStyle name="Separador de milhares_Orç 037_2009 - Ar Condicionado Salas Técnicas - PJ Sobradinho" xfId="159"/>
    <cellStyle name="Separador de milhares_Orç 041_2009 Adaptação Copa PJ Ceilândia" xfId="160"/>
    <cellStyle name="Texto de Aviso" xfId="161"/>
    <cellStyle name="Texto de Aviso 2" xfId="162"/>
    <cellStyle name="Texto Explicativo" xfId="163"/>
    <cellStyle name="Texto Explicativo 2" xfId="164"/>
    <cellStyle name="Title" xfId="165"/>
    <cellStyle name="Título" xfId="166"/>
    <cellStyle name="Título 1" xfId="167"/>
    <cellStyle name="Título 1 1" xfId="168"/>
    <cellStyle name="Título 1 1 1" xfId="169"/>
    <cellStyle name="Título 1 1_CCU's" xfId="170"/>
    <cellStyle name="Título 1 2" xfId="171"/>
    <cellStyle name="Título 2" xfId="172"/>
    <cellStyle name="Título 2 2" xfId="173"/>
    <cellStyle name="Título 3" xfId="174"/>
    <cellStyle name="Título 3 2" xfId="175"/>
    <cellStyle name="Título 4" xfId="176"/>
    <cellStyle name="Título 4 2" xfId="177"/>
    <cellStyle name="Título 5" xfId="178"/>
    <cellStyle name="Título 6" xfId="179"/>
    <cellStyle name="Título 7" xfId="180"/>
    <cellStyle name="Total" xfId="181"/>
    <cellStyle name="Total 2" xfId="182"/>
    <cellStyle name="Vírgula 2" xfId="183"/>
    <cellStyle name="Vírgula 3" xfId="184"/>
    <cellStyle name="Warning Text" xfId="185"/>
  </cellStyles>
  <dxfs count="5">
    <dxf>
      <font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color indexed="9"/>
      </font>
    </dxf>
    <dxf>
      <fill>
        <patternFill patternType="solid">
          <fgColor indexed="41"/>
          <bgColor indexed="27"/>
        </patternFill>
      </fill>
    </dxf>
    <dxf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Cronograma!$E$62:$F$62</c:f>
              <c:numCache>
                <c:ptCount val="2"/>
                <c:pt idx="0">
                  <c:v>0.05702</c:v>
                </c:pt>
                <c:pt idx="1">
                  <c:v>0.64044</c:v>
                </c:pt>
              </c:numCache>
            </c:numRef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7720"/>
        <c:crosses val="autoZero"/>
        <c:auto val="1"/>
        <c:lblOffset val="100"/>
        <c:tickLblSkip val="1"/>
        <c:noMultiLvlLbl val="0"/>
      </c:catAx>
      <c:valAx>
        <c:axId val="6328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Cronograma!$E$60:$F$60</c:f>
              <c:numCache>
                <c:ptCount val="2"/>
                <c:pt idx="0">
                  <c:v>0.05702</c:v>
                </c:pt>
                <c:pt idx="1">
                  <c:v>0.58342</c:v>
                </c:pt>
              </c:numCache>
            </c:numRef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8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62</xdr:row>
      <xdr:rowOff>0</xdr:rowOff>
    </xdr:from>
    <xdr:to>
      <xdr:col>3</xdr:col>
      <xdr:colOff>590550</xdr:colOff>
      <xdr:row>62</xdr:row>
      <xdr:rowOff>0</xdr:rowOff>
    </xdr:to>
    <xdr:graphicFrame>
      <xdr:nvGraphicFramePr>
        <xdr:cNvPr id="1" name="Gráfico 790"/>
        <xdr:cNvGraphicFramePr/>
      </xdr:nvGraphicFramePr>
      <xdr:xfrm>
        <a:off x="95250" y="992505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62</xdr:row>
      <xdr:rowOff>0</xdr:rowOff>
    </xdr:from>
    <xdr:to>
      <xdr:col>3</xdr:col>
      <xdr:colOff>581025</xdr:colOff>
      <xdr:row>62</xdr:row>
      <xdr:rowOff>0</xdr:rowOff>
    </xdr:to>
    <xdr:graphicFrame>
      <xdr:nvGraphicFramePr>
        <xdr:cNvPr id="2" name="Gráfico 791"/>
        <xdr:cNvGraphicFramePr/>
      </xdr:nvGraphicFramePr>
      <xdr:xfrm>
        <a:off x="95250" y="992505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br01.webdms.sika.com/fileshow.do?documentID=49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br01.webdms.sika.com/fileshow.do?documentID=49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hyperlink" Target="http://br01.webdms.sika.com/fileshow.do?documentID=49" TargetMode="External" /><Relationship Id="rId10" Type="http://schemas.openxmlformats.org/officeDocument/2006/relationships/hyperlink" Target="http://br01.webdms.sika.com/fileshow.do?documentID=49" TargetMode="External" /><Relationship Id="rId11" Type="http://schemas.openxmlformats.org/officeDocument/2006/relationships/hyperlink" Target="http://br01.webdms.sika.com/fileshow.do?documentID=49" TargetMode="External" /><Relationship Id="rId12" Type="http://schemas.openxmlformats.org/officeDocument/2006/relationships/hyperlink" Target="http://br01.webdms.sika.com/fileshow.do?documentID=49" TargetMode="External" /><Relationship Id="rId13" Type="http://schemas.openxmlformats.org/officeDocument/2006/relationships/hyperlink" Target="http://br01.webdms.sika.com/fileshow.do?documentID=49" TargetMode="External" /><Relationship Id="rId14" Type="http://schemas.openxmlformats.org/officeDocument/2006/relationships/hyperlink" Target="http://br01.webdms.sika.com/fileshow.do?documentID=49" TargetMode="External" /><Relationship Id="rId15" Type="http://schemas.openxmlformats.org/officeDocument/2006/relationships/hyperlink" Target="http://br01.webdms.sika.com/fileshow.do?documentID=49" TargetMode="External" /><Relationship Id="rId16" Type="http://schemas.openxmlformats.org/officeDocument/2006/relationships/hyperlink" Target="http://br01.webdms.sika.com/fileshow.do?documentID=49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www.gessotrevo.com.br/gesso_cola.php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www.gessotrevo.com.br/gesso_cola.php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hyperlink" Target="http://br01.webdms.sika.com/fileshow.do?documentID=49" TargetMode="External" /><Relationship Id="rId10" Type="http://schemas.openxmlformats.org/officeDocument/2006/relationships/hyperlink" Target="http://br01.webdms.sika.com/fileshow.do?documentID=49" TargetMode="External" /><Relationship Id="rId11" Type="http://schemas.openxmlformats.org/officeDocument/2006/relationships/hyperlink" Target="http://br01.webdms.sika.com/fileshow.do?documentID=49" TargetMode="External" /><Relationship Id="rId12" Type="http://schemas.openxmlformats.org/officeDocument/2006/relationships/hyperlink" Target="http://br01.webdms.sika.com/fileshow.do?documentID=49" TargetMode="External" /><Relationship Id="rId13" Type="http://schemas.openxmlformats.org/officeDocument/2006/relationships/hyperlink" Target="http://br01.webdms.sika.com/fileshow.do?documentID=49" TargetMode="External" /><Relationship Id="rId14" Type="http://schemas.openxmlformats.org/officeDocument/2006/relationships/hyperlink" Target="http://br01.webdms.sika.com/fileshow.do?documentID=49" TargetMode="External" /><Relationship Id="rId15" Type="http://schemas.openxmlformats.org/officeDocument/2006/relationships/hyperlink" Target="http://br01.webdms.sika.com/fileshow.do?documentID=49" TargetMode="External" /><Relationship Id="rId16" Type="http://schemas.openxmlformats.org/officeDocument/2006/relationships/hyperlink" Target="http://br01.webdms.sika.com/fileshow.do?documentID=49" TargetMode="External" /><Relationship Id="rId17" Type="http://schemas.openxmlformats.org/officeDocument/2006/relationships/hyperlink" Target="http://br01.webdms.sika.com/fileshow.do?documentID=49" TargetMode="External" /><Relationship Id="rId18" Type="http://schemas.openxmlformats.org/officeDocument/2006/relationships/hyperlink" Target="http://br01.webdms.sika.com/fileshow.do?documentID=49" TargetMode="External" /><Relationship Id="rId19" Type="http://schemas.openxmlformats.org/officeDocument/2006/relationships/hyperlink" Target="http://br01.webdms.sika.com/fileshow.do?documentID=49" TargetMode="External" /><Relationship Id="rId20" Type="http://schemas.openxmlformats.org/officeDocument/2006/relationships/hyperlink" Target="http://br01.webdms.sika.com/fileshow.do?documentID=49" TargetMode="External" /><Relationship Id="rId21" Type="http://schemas.openxmlformats.org/officeDocument/2006/relationships/hyperlink" Target="http://www.gessotrevo.com.br/gesso_cola.php" TargetMode="External" /><Relationship Id="rId22" Type="http://schemas.openxmlformats.org/officeDocument/2006/relationships/hyperlink" Target="http://br01.webdms.sika.com/fileshow.do?documentID=49" TargetMode="External" /><Relationship Id="rId23" Type="http://schemas.openxmlformats.org/officeDocument/2006/relationships/hyperlink" Target="http://br01.webdms.sika.com/fileshow.do?documentID=49" TargetMode="External" /><Relationship Id="rId24" Type="http://schemas.openxmlformats.org/officeDocument/2006/relationships/hyperlink" Target="http://www.gessotrevo.com.br/gesso_cola.php" TargetMode="External" /><Relationship Id="rId25" Type="http://schemas.openxmlformats.org/officeDocument/2006/relationships/hyperlink" Target="http://br01.webdms.sika.com/fileshow.do?documentID=49" TargetMode="External" /><Relationship Id="rId26" Type="http://schemas.openxmlformats.org/officeDocument/2006/relationships/hyperlink" Target="http://br01.webdms.sika.com/fileshow.do?documentID=49" TargetMode="External" /><Relationship Id="rId27" Type="http://schemas.openxmlformats.org/officeDocument/2006/relationships/hyperlink" Target="http://www.gessotrevo.com.br/gesso_cola.php" TargetMode="External" /><Relationship Id="rId28" Type="http://schemas.openxmlformats.org/officeDocument/2006/relationships/hyperlink" Target="http://br01.webdms.sika.com/fileshow.do?documentID=49" TargetMode="External" /><Relationship Id="rId29" Type="http://schemas.openxmlformats.org/officeDocument/2006/relationships/hyperlink" Target="http://br01.webdms.sika.com/fileshow.do?documentID=49" TargetMode="External" /><Relationship Id="rId30" Type="http://schemas.openxmlformats.org/officeDocument/2006/relationships/hyperlink" Target="http://www.gessotrevo.com.br/gesso_cola.php" TargetMode="External" /><Relationship Id="rId31" Type="http://schemas.openxmlformats.org/officeDocument/2006/relationships/hyperlink" Target="http://br01.webdms.sika.com/fileshow.do?documentID=49" TargetMode="External" /><Relationship Id="rId32" Type="http://schemas.openxmlformats.org/officeDocument/2006/relationships/hyperlink" Target="http://br01.webdms.sika.com/fileshow.do?documentID=49" TargetMode="External" /><Relationship Id="rId33" Type="http://schemas.openxmlformats.org/officeDocument/2006/relationships/hyperlink" Target="http://www.gessotrevo.com.br/gesso_cola.php" TargetMode="External" /><Relationship Id="rId34" Type="http://schemas.openxmlformats.org/officeDocument/2006/relationships/hyperlink" Target="http://br01.webdms.sika.com/fileshow.do?documentID=49" TargetMode="External" /><Relationship Id="rId35" Type="http://schemas.openxmlformats.org/officeDocument/2006/relationships/hyperlink" Target="http://br01.webdms.sika.com/fileshow.do?documentID=49" TargetMode="External" /><Relationship Id="rId36" Type="http://schemas.openxmlformats.org/officeDocument/2006/relationships/hyperlink" Target="http://www.gessotrevo.com.br/gesso_cola.php" TargetMode="External" /><Relationship Id="rId37" Type="http://schemas.openxmlformats.org/officeDocument/2006/relationships/hyperlink" Target="http://br01.webdms.sika.com/fileshow.do?documentID=49" TargetMode="External" /><Relationship Id="rId38" Type="http://schemas.openxmlformats.org/officeDocument/2006/relationships/hyperlink" Target="http://br01.webdms.sika.com/fileshow.do?documentID=49" TargetMode="External" /><Relationship Id="rId39" Type="http://schemas.openxmlformats.org/officeDocument/2006/relationships/hyperlink" Target="http://www.gessotrevo.com.br/gesso_cola.php" TargetMode="External" /><Relationship Id="rId40" Type="http://schemas.openxmlformats.org/officeDocument/2006/relationships/hyperlink" Target="http://br01.webdms.sika.com/fileshow.do?documentID=49" TargetMode="External" /><Relationship Id="rId41" Type="http://schemas.openxmlformats.org/officeDocument/2006/relationships/hyperlink" Target="http://br01.webdms.sika.com/fileshow.do?documentID=49" TargetMode="External" /><Relationship Id="rId42" Type="http://schemas.openxmlformats.org/officeDocument/2006/relationships/hyperlink" Target="http://www.gessotrevo.com.br/gesso_cola.php" TargetMode="External" /><Relationship Id="rId43" Type="http://schemas.openxmlformats.org/officeDocument/2006/relationships/hyperlink" Target="http://br01.webdms.sika.com/fileshow.do?documentID=49" TargetMode="External" /><Relationship Id="rId44" Type="http://schemas.openxmlformats.org/officeDocument/2006/relationships/hyperlink" Target="http://br01.webdms.sika.com/fileshow.do?documentID=49" TargetMode="External" /><Relationship Id="rId45" Type="http://schemas.openxmlformats.org/officeDocument/2006/relationships/hyperlink" Target="http://www.gessotrevo.com.br/gesso_cola.php" TargetMode="External" /><Relationship Id="rId46" Type="http://schemas.openxmlformats.org/officeDocument/2006/relationships/hyperlink" Target="http://br01.webdms.sika.com/fileshow.do?documentID=49" TargetMode="External" /><Relationship Id="rId47" Type="http://schemas.openxmlformats.org/officeDocument/2006/relationships/hyperlink" Target="http://br01.webdms.sika.com/fileshow.do?documentID=49" TargetMode="External" /><Relationship Id="rId48" Type="http://schemas.openxmlformats.org/officeDocument/2006/relationships/hyperlink" Target="http://www.gessotrevo.com.br/gesso_cola.php" TargetMode="External" /><Relationship Id="rId49" Type="http://schemas.openxmlformats.org/officeDocument/2006/relationships/hyperlink" Target="http://br01.webdms.sika.com/fileshow.do?documentID=49" TargetMode="External" /><Relationship Id="rId50" Type="http://schemas.openxmlformats.org/officeDocument/2006/relationships/hyperlink" Target="http://br01.webdms.sika.com/fileshow.do?documentID=49" TargetMode="External" /><Relationship Id="rId51" Type="http://schemas.openxmlformats.org/officeDocument/2006/relationships/hyperlink" Target="http://www.gessotrevo.com.br/gesso_cola.php" TargetMode="External" /><Relationship Id="rId52" Type="http://schemas.openxmlformats.org/officeDocument/2006/relationships/hyperlink" Target="http://br01.webdms.sika.com/fileshow.do?documentID=49" TargetMode="External" /><Relationship Id="rId53" Type="http://schemas.openxmlformats.org/officeDocument/2006/relationships/hyperlink" Target="http://br01.webdms.sika.com/fileshow.do?documentID=49" TargetMode="External" /><Relationship Id="rId54" Type="http://schemas.openxmlformats.org/officeDocument/2006/relationships/hyperlink" Target="http://www.gessotrevo.com.br/gesso_cola.php" TargetMode="External" /><Relationship Id="rId55" Type="http://schemas.openxmlformats.org/officeDocument/2006/relationships/hyperlink" Target="http://br01.webdms.sika.com/fileshow.do?documentID=49" TargetMode="External" /><Relationship Id="rId56" Type="http://schemas.openxmlformats.org/officeDocument/2006/relationships/hyperlink" Target="http://br01.webdms.sika.com/fileshow.do?documentID=49" TargetMode="External" /><Relationship Id="rId57" Type="http://schemas.openxmlformats.org/officeDocument/2006/relationships/hyperlink" Target="http://www.gessotrevo.com.br/gesso_cola.php" TargetMode="External" /><Relationship Id="rId58" Type="http://schemas.openxmlformats.org/officeDocument/2006/relationships/hyperlink" Target="http://br01.webdms.sika.com/fileshow.do?documentID=49" TargetMode="External" /><Relationship Id="rId59" Type="http://schemas.openxmlformats.org/officeDocument/2006/relationships/hyperlink" Target="http://br01.webdms.sika.com/fileshow.do?documentID=49" TargetMode="External" /><Relationship Id="rId60" Type="http://schemas.openxmlformats.org/officeDocument/2006/relationships/hyperlink" Target="http://www.gessotrevo.com.br/gesso_cola.php" TargetMode="External" /><Relationship Id="rId61" Type="http://schemas.openxmlformats.org/officeDocument/2006/relationships/hyperlink" Target="http://br01.webdms.sika.com/fileshow.do?documentID=49" TargetMode="External" /><Relationship Id="rId62" Type="http://schemas.openxmlformats.org/officeDocument/2006/relationships/hyperlink" Target="http://br01.webdms.sika.com/fileshow.do?documentID=49" TargetMode="External" /><Relationship Id="rId63" Type="http://schemas.openxmlformats.org/officeDocument/2006/relationships/hyperlink" Target="http://www.gessotrevo.com.br/gesso_cola.php" TargetMode="External" /><Relationship Id="rId64" Type="http://schemas.openxmlformats.org/officeDocument/2006/relationships/hyperlink" Target="http://br01.webdms.sika.com/fileshow.do?documentID=49" TargetMode="External" /><Relationship Id="rId65" Type="http://schemas.openxmlformats.org/officeDocument/2006/relationships/hyperlink" Target="http://br01.webdms.sika.com/fileshow.do?documentID=49" TargetMode="External" /><Relationship Id="rId66" Type="http://schemas.openxmlformats.org/officeDocument/2006/relationships/hyperlink" Target="http://www.gessotrevo.com.br/gesso_cola.php" TargetMode="External" /><Relationship Id="rId67" Type="http://schemas.openxmlformats.org/officeDocument/2006/relationships/hyperlink" Target="http://br01.webdms.sika.com/fileshow.do?documentID=49" TargetMode="External" /><Relationship Id="rId68" Type="http://schemas.openxmlformats.org/officeDocument/2006/relationships/hyperlink" Target="http://br01.webdms.sika.com/fileshow.do?documentID=49" TargetMode="External" /><Relationship Id="rId69" Type="http://schemas.openxmlformats.org/officeDocument/2006/relationships/hyperlink" Target="http://www.gessotrevo.com.br/gesso_cola.php" TargetMode="External" /><Relationship Id="rId70" Type="http://schemas.openxmlformats.org/officeDocument/2006/relationships/hyperlink" Target="http://br01.webdms.sika.com/fileshow.do?documentID=49" TargetMode="External" /><Relationship Id="rId71" Type="http://schemas.openxmlformats.org/officeDocument/2006/relationships/hyperlink" Target="http://br01.webdms.sika.com/fileshow.do?documentID=49" TargetMode="External" /><Relationship Id="rId72" Type="http://schemas.openxmlformats.org/officeDocument/2006/relationships/hyperlink" Target="http://www.gessotrevo.com.br/gesso_cola.php" TargetMode="External" /><Relationship Id="rId73" Type="http://schemas.openxmlformats.org/officeDocument/2006/relationships/hyperlink" Target="http://br01.webdms.sika.com/fileshow.do?documentID=49" TargetMode="External" /><Relationship Id="rId74" Type="http://schemas.openxmlformats.org/officeDocument/2006/relationships/hyperlink" Target="http://www.gessotrevo.com.br/gesso_cola.php" TargetMode="External" /><Relationship Id="rId75" Type="http://schemas.openxmlformats.org/officeDocument/2006/relationships/hyperlink" Target="http://br01.webdms.sika.com/fileshow.do?documentID=49" TargetMode="External" /><Relationship Id="rId76" Type="http://schemas.openxmlformats.org/officeDocument/2006/relationships/hyperlink" Target="http://www.gessotrevo.com.br/gesso_cola.php" TargetMode="External" /><Relationship Id="rId77" Type="http://schemas.openxmlformats.org/officeDocument/2006/relationships/hyperlink" Target="http://br01.webdms.sika.com/fileshow.do?documentID=49" TargetMode="External" /><Relationship Id="rId78" Type="http://schemas.openxmlformats.org/officeDocument/2006/relationships/hyperlink" Target="http://br01.webdms.sika.com/fileshow.do?documentID=49" TargetMode="External" /><Relationship Id="rId79" Type="http://schemas.openxmlformats.org/officeDocument/2006/relationships/hyperlink" Target="http://br01.webdms.sika.com/fileshow.do?documentID=49" TargetMode="External" /><Relationship Id="rId80" Type="http://schemas.openxmlformats.org/officeDocument/2006/relationships/hyperlink" Target="http://br01.webdms.sika.com/fileshow.do?documentID=49" TargetMode="External" /><Relationship Id="rId81" Type="http://schemas.openxmlformats.org/officeDocument/2006/relationships/hyperlink" Target="http://www.gessotrevo.com.br/gesso_cola.php" TargetMode="External" /><Relationship Id="rId82" Type="http://schemas.openxmlformats.org/officeDocument/2006/relationships/hyperlink" Target="http://br01.webdms.sika.com/fileshow.do?documentID=49" TargetMode="External" /><Relationship Id="rId83" Type="http://schemas.openxmlformats.org/officeDocument/2006/relationships/hyperlink" Target="http://br01.webdms.sika.com/fileshow.do?documentID=49" TargetMode="External" /><Relationship Id="rId84" Type="http://schemas.openxmlformats.org/officeDocument/2006/relationships/hyperlink" Target="http://br01.webdms.sika.com/fileshow.do?documentID=49" TargetMode="External" /><Relationship Id="rId85" Type="http://schemas.openxmlformats.org/officeDocument/2006/relationships/hyperlink" Target="http://br01.webdms.sika.com/fileshow.do?documentID=49" TargetMode="External" /><Relationship Id="rId86" Type="http://schemas.openxmlformats.org/officeDocument/2006/relationships/hyperlink" Target="http://www.gessotrevo.com.br/gesso_cola.php" TargetMode="External" /><Relationship Id="rId87" Type="http://schemas.openxmlformats.org/officeDocument/2006/relationships/hyperlink" Target="http://br01.webdms.sika.com/fileshow.do?documentID=49" TargetMode="External" /><Relationship Id="rId8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r01.webdms.sika.com/fileshow.do?documentID=49" TargetMode="External" /><Relationship Id="rId2" Type="http://schemas.openxmlformats.org/officeDocument/2006/relationships/hyperlink" Target="http://br01.webdms.sika.com/fileshow.do?documentID=49" TargetMode="External" /><Relationship Id="rId3" Type="http://schemas.openxmlformats.org/officeDocument/2006/relationships/hyperlink" Target="http://br01.webdms.sika.com/fileshow.do?documentID=49" TargetMode="External" /><Relationship Id="rId4" Type="http://schemas.openxmlformats.org/officeDocument/2006/relationships/hyperlink" Target="http://br01.webdms.sika.com/fileshow.do?documentID=49" TargetMode="External" /><Relationship Id="rId5" Type="http://schemas.openxmlformats.org/officeDocument/2006/relationships/hyperlink" Target="http://br01.webdms.sika.com/fileshow.do?documentID=49" TargetMode="External" /><Relationship Id="rId6" Type="http://schemas.openxmlformats.org/officeDocument/2006/relationships/hyperlink" Target="http://br01.webdms.sika.com/fileshow.do?documentID=49" TargetMode="External" /><Relationship Id="rId7" Type="http://schemas.openxmlformats.org/officeDocument/2006/relationships/hyperlink" Target="http://br01.webdms.sika.com/fileshow.do?documentID=49" TargetMode="External" /><Relationship Id="rId8" Type="http://schemas.openxmlformats.org/officeDocument/2006/relationships/hyperlink" Target="http://br01.webdms.sika.com/fileshow.do?documentID=49" TargetMode="External" /><Relationship Id="rId9" Type="http://schemas.openxmlformats.org/officeDocument/2006/relationships/hyperlink" Target="http://br01.webdms.sika.com/fileshow.do?documentID=49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view="pageBreakPreview" zoomScale="115" zoomScaleSheetLayoutView="115" workbookViewId="0" topLeftCell="A7">
      <selection activeCell="B27" sqref="B27"/>
    </sheetView>
  </sheetViews>
  <sheetFormatPr defaultColWidth="9.140625" defaultRowHeight="12.75"/>
  <cols>
    <col min="1" max="1" width="6.8515625" style="0" customWidth="1"/>
    <col min="2" max="2" width="84.28125" style="0" customWidth="1"/>
  </cols>
  <sheetData>
    <row r="1" spans="1:2" ht="12.75">
      <c r="A1" s="404" t="s">
        <v>34</v>
      </c>
      <c r="B1" s="405"/>
    </row>
    <row r="2" spans="1:2" ht="12.75">
      <c r="A2" s="351"/>
      <c r="B2" s="352"/>
    </row>
    <row r="3" spans="1:2" ht="12.75">
      <c r="A3" s="353"/>
      <c r="B3" s="354" t="s">
        <v>35</v>
      </c>
    </row>
    <row r="4" spans="1:2" ht="33.75">
      <c r="A4" s="355">
        <v>1</v>
      </c>
      <c r="B4" s="356" t="s">
        <v>75</v>
      </c>
    </row>
    <row r="5" spans="1:2" ht="12.75">
      <c r="A5" s="355">
        <v>2</v>
      </c>
      <c r="B5" s="356" t="s">
        <v>36</v>
      </c>
    </row>
    <row r="6" spans="1:2" ht="22.5">
      <c r="A6" s="355" t="s">
        <v>37</v>
      </c>
      <c r="B6" s="356" t="s">
        <v>76</v>
      </c>
    </row>
    <row r="7" spans="1:2" ht="22.5">
      <c r="A7" s="355" t="s">
        <v>38</v>
      </c>
      <c r="B7" s="356" t="s">
        <v>77</v>
      </c>
    </row>
    <row r="8" spans="1:2" ht="22.5">
      <c r="A8" s="355" t="s">
        <v>39</v>
      </c>
      <c r="B8" s="356" t="s">
        <v>78</v>
      </c>
    </row>
    <row r="9" spans="1:2" ht="12.75">
      <c r="A9" s="355" t="s">
        <v>40</v>
      </c>
      <c r="B9" s="356" t="s">
        <v>79</v>
      </c>
    </row>
    <row r="10" spans="1:2" ht="22.5">
      <c r="A10" s="357" t="s">
        <v>41</v>
      </c>
      <c r="B10" s="358" t="s">
        <v>80</v>
      </c>
    </row>
    <row r="11" spans="1:2" ht="12.75">
      <c r="A11" s="359"/>
      <c r="B11" s="360"/>
    </row>
    <row r="12" spans="1:2" ht="12.75">
      <c r="A12" s="353" t="s">
        <v>331</v>
      </c>
      <c r="B12" s="354" t="s">
        <v>42</v>
      </c>
    </row>
    <row r="13" spans="1:2" ht="22.5">
      <c r="A13" s="355" t="s">
        <v>297</v>
      </c>
      <c r="B13" s="356" t="s">
        <v>81</v>
      </c>
    </row>
    <row r="14" spans="1:2" ht="22.5">
      <c r="A14" s="355" t="s">
        <v>315</v>
      </c>
      <c r="B14" s="356" t="s">
        <v>82</v>
      </c>
    </row>
    <row r="15" spans="1:2" ht="12.75">
      <c r="A15" s="361" t="s">
        <v>211</v>
      </c>
      <c r="B15" s="362" t="s">
        <v>43</v>
      </c>
    </row>
    <row r="16" spans="1:2" ht="12.75">
      <c r="A16" s="355" t="s">
        <v>307</v>
      </c>
      <c r="B16" s="356" t="s">
        <v>83</v>
      </c>
    </row>
    <row r="17" spans="1:2" ht="22.5">
      <c r="A17" s="355" t="s">
        <v>335</v>
      </c>
      <c r="B17" s="356" t="s">
        <v>44</v>
      </c>
    </row>
    <row r="18" spans="1:2" ht="22.5">
      <c r="A18" s="355" t="s">
        <v>337</v>
      </c>
      <c r="B18" s="356" t="s">
        <v>45</v>
      </c>
    </row>
    <row r="19" spans="1:2" ht="12.75">
      <c r="A19" s="361" t="s">
        <v>224</v>
      </c>
      <c r="B19" s="362" t="s">
        <v>46</v>
      </c>
    </row>
    <row r="20" spans="1:2" ht="12.75">
      <c r="A20" s="355" t="s">
        <v>214</v>
      </c>
      <c r="B20" s="356" t="s">
        <v>47</v>
      </c>
    </row>
    <row r="21" spans="1:2" ht="22.5">
      <c r="A21" s="363" t="s">
        <v>216</v>
      </c>
      <c r="B21" s="364" t="s">
        <v>48</v>
      </c>
    </row>
    <row r="22" spans="1:2" ht="22.5">
      <c r="A22" s="355" t="s">
        <v>218</v>
      </c>
      <c r="B22" s="364" t="s">
        <v>84</v>
      </c>
    </row>
    <row r="23" spans="1:2" ht="12.75">
      <c r="A23" s="361" t="s">
        <v>49</v>
      </c>
      <c r="B23" s="362" t="s">
        <v>50</v>
      </c>
    </row>
    <row r="24" spans="1:2" ht="33.75">
      <c r="A24" s="355" t="s">
        <v>226</v>
      </c>
      <c r="B24" s="356" t="s">
        <v>51</v>
      </c>
    </row>
    <row r="25" spans="1:2" ht="22.5">
      <c r="A25" s="355" t="s">
        <v>228</v>
      </c>
      <c r="B25" s="356" t="s">
        <v>52</v>
      </c>
    </row>
    <row r="26" spans="1:2" ht="12.75">
      <c r="A26" s="355" t="s">
        <v>53</v>
      </c>
      <c r="B26" s="356" t="s">
        <v>54</v>
      </c>
    </row>
    <row r="27" spans="1:2" ht="12.75">
      <c r="A27" s="361" t="s">
        <v>55</v>
      </c>
      <c r="B27" s="362" t="s">
        <v>56</v>
      </c>
    </row>
    <row r="28" spans="1:2" ht="22.5">
      <c r="A28" s="355" t="s">
        <v>57</v>
      </c>
      <c r="B28" s="356" t="s">
        <v>58</v>
      </c>
    </row>
    <row r="29" spans="1:2" ht="12.75">
      <c r="A29" s="365" t="s">
        <v>59</v>
      </c>
      <c r="B29" s="366" t="s">
        <v>60</v>
      </c>
    </row>
    <row r="30" spans="1:2" ht="12.75">
      <c r="A30" s="367" t="s">
        <v>61</v>
      </c>
      <c r="B30" s="368" t="s">
        <v>62</v>
      </c>
    </row>
    <row r="31" spans="1:2" ht="22.5">
      <c r="A31" s="367" t="s">
        <v>63</v>
      </c>
      <c r="B31" s="368" t="s">
        <v>64</v>
      </c>
    </row>
    <row r="32" spans="1:2" ht="22.5">
      <c r="A32" s="369" t="s">
        <v>65</v>
      </c>
      <c r="B32" s="370" t="s">
        <v>66</v>
      </c>
    </row>
  </sheetData>
  <mergeCells count="1">
    <mergeCell ref="A1:B1"/>
  </mergeCells>
  <printOptions/>
  <pageMargins left="0.75" right="0.75" top="1" bottom="1" header="0.492125985" footer="0.49212598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82"/>
  <sheetViews>
    <sheetView showGridLines="0" tabSelected="1" zoomScaleSheetLayoutView="100" zoomScalePageLayoutView="0" workbookViewId="0" topLeftCell="A1">
      <pane xSplit="7" ySplit="9" topLeftCell="H1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" sqref="A1:E1"/>
    </sheetView>
  </sheetViews>
  <sheetFormatPr defaultColWidth="9.28125" defaultRowHeight="12.75"/>
  <cols>
    <col min="1" max="1" width="12.7109375" style="1" customWidth="1"/>
    <col min="2" max="2" width="8.7109375" style="5" customWidth="1"/>
    <col min="3" max="3" width="37.7109375" style="1" customWidth="1"/>
    <col min="4" max="4" width="6.7109375" style="5" customWidth="1"/>
    <col min="5" max="5" width="9.7109375" style="29" customWidth="1"/>
    <col min="6" max="6" width="9.7109375" style="250" customWidth="1"/>
    <col min="7" max="7" width="11.7109375" style="29" customWidth="1"/>
    <col min="8" max="160" width="9.421875" style="3" customWidth="1"/>
    <col min="161" max="16384" width="9.28125" style="4" customWidth="1"/>
  </cols>
  <sheetData>
    <row r="1" spans="1:7" ht="18.75">
      <c r="A1" s="413" t="s">
        <v>353</v>
      </c>
      <c r="B1" s="414"/>
      <c r="C1" s="414"/>
      <c r="D1" s="414"/>
      <c r="E1" s="415"/>
      <c r="F1" s="371" t="s">
        <v>67</v>
      </c>
      <c r="G1" s="348"/>
    </row>
    <row r="2" spans="1:160" s="58" customFormat="1" ht="11.25">
      <c r="A2" s="65" t="s">
        <v>468</v>
      </c>
      <c r="B2" s="190"/>
      <c r="C2" s="372"/>
      <c r="D2" s="190"/>
      <c r="E2" s="68"/>
      <c r="F2" s="349">
        <v>1</v>
      </c>
      <c r="G2" s="350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</row>
    <row r="3" spans="1:160" s="58" customFormat="1" ht="11.25">
      <c r="A3" s="70" t="s">
        <v>599</v>
      </c>
      <c r="B3" s="71"/>
      <c r="C3" s="72"/>
      <c r="D3" s="73"/>
      <c r="E3" s="74"/>
      <c r="F3" s="419">
        <v>2</v>
      </c>
      <c r="G3" s="420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</row>
    <row r="4" spans="1:160" s="58" customFormat="1" ht="11.25">
      <c r="A4" s="374" t="s">
        <v>68</v>
      </c>
      <c r="B4" s="375"/>
      <c r="C4" s="376" t="s">
        <v>69</v>
      </c>
      <c r="D4" s="374" t="s">
        <v>70</v>
      </c>
      <c r="E4" s="375"/>
      <c r="F4" s="371" t="s">
        <v>71</v>
      </c>
      <c r="G4" s="377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</row>
    <row r="5" spans="1:160" s="58" customFormat="1" ht="11.25">
      <c r="A5" s="416">
        <v>3</v>
      </c>
      <c r="B5" s="417"/>
      <c r="C5" s="378">
        <v>4</v>
      </c>
      <c r="D5" s="416">
        <v>5</v>
      </c>
      <c r="E5" s="417"/>
      <c r="F5" s="418">
        <v>6</v>
      </c>
      <c r="G5" s="392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</row>
    <row r="6" spans="1:160" s="58" customFormat="1" ht="11.25" customHeight="1">
      <c r="A6" s="374" t="s">
        <v>184</v>
      </c>
      <c r="B6" s="375"/>
      <c r="C6" s="376" t="s">
        <v>72</v>
      </c>
      <c r="D6" s="374" t="s">
        <v>73</v>
      </c>
      <c r="E6" s="375"/>
      <c r="F6" s="371" t="s">
        <v>74</v>
      </c>
      <c r="G6" s="377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</row>
    <row r="7" spans="1:160" s="58" customFormat="1" ht="11.25" customHeight="1">
      <c r="A7" s="406">
        <v>7</v>
      </c>
      <c r="B7" s="407"/>
      <c r="C7" s="378">
        <v>8</v>
      </c>
      <c r="D7" s="416">
        <v>9</v>
      </c>
      <c r="E7" s="417"/>
      <c r="F7" s="418">
        <v>10</v>
      </c>
      <c r="G7" s="392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</row>
    <row r="8" spans="1:160" s="80" customFormat="1" ht="6.75" customHeight="1">
      <c r="A8" s="75"/>
      <c r="B8" s="76"/>
      <c r="C8" s="76"/>
      <c r="D8" s="76"/>
      <c r="E8" s="77"/>
      <c r="F8" s="243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</row>
    <row r="9" spans="1:7" ht="22.5">
      <c r="A9" s="199" t="s">
        <v>237</v>
      </c>
      <c r="B9" s="200" t="s">
        <v>238</v>
      </c>
      <c r="C9" s="200" t="s">
        <v>239</v>
      </c>
      <c r="D9" s="200" t="s">
        <v>240</v>
      </c>
      <c r="E9" s="201" t="s">
        <v>241</v>
      </c>
      <c r="F9" s="244" t="s">
        <v>242</v>
      </c>
      <c r="G9" s="202" t="s">
        <v>243</v>
      </c>
    </row>
    <row r="10" spans="1:160" s="49" customFormat="1" ht="12.75">
      <c r="A10" s="321"/>
      <c r="B10" s="322" t="s">
        <v>269</v>
      </c>
      <c r="C10" s="323" t="s">
        <v>270</v>
      </c>
      <c r="D10" s="324"/>
      <c r="E10" s="325"/>
      <c r="F10" s="64"/>
      <c r="G10" s="325">
        <f>SUM(G11:G12)/2</f>
        <v>226.5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</row>
    <row r="11" spans="1:7" ht="12.75">
      <c r="A11" s="208"/>
      <c r="B11" s="209" t="s">
        <v>279</v>
      </c>
      <c r="C11" s="210" t="s">
        <v>280</v>
      </c>
      <c r="D11" s="211"/>
      <c r="E11" s="212"/>
      <c r="F11" s="42"/>
      <c r="G11" s="212">
        <f>SUM(G12:G12)</f>
        <v>226.5</v>
      </c>
    </row>
    <row r="12" spans="1:7" ht="22.5">
      <c r="A12" s="223" t="str">
        <f>"CCU "&amp;B12</f>
        <v>CCU 01.08.001</v>
      </c>
      <c r="B12" s="224" t="s">
        <v>281</v>
      </c>
      <c r="C12" s="254" t="s">
        <v>190</v>
      </c>
      <c r="D12" s="232" t="s">
        <v>245</v>
      </c>
      <c r="E12" s="225">
        <v>1</v>
      </c>
      <c r="F12" s="248">
        <f>VLOOKUP(A12,'CCU''s'!$A:$G,7,0)</f>
        <v>226.5</v>
      </c>
      <c r="G12" s="226">
        <f>ROUND(E12*F12,2)</f>
        <v>226.5</v>
      </c>
    </row>
    <row r="13" spans="1:160" s="49" customFormat="1" ht="12.75">
      <c r="A13" s="203"/>
      <c r="B13" s="204" t="s">
        <v>271</v>
      </c>
      <c r="C13" s="205" t="s">
        <v>244</v>
      </c>
      <c r="D13" s="206"/>
      <c r="E13" s="207"/>
      <c r="F13" s="57"/>
      <c r="G13" s="207">
        <f>SUM(G14:G31)/2</f>
        <v>3486.6000000000004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</row>
    <row r="14" spans="1:160" s="49" customFormat="1" ht="12.75">
      <c r="A14" s="218"/>
      <c r="B14" s="219" t="s">
        <v>282</v>
      </c>
      <c r="C14" s="220" t="s">
        <v>283</v>
      </c>
      <c r="D14" s="221"/>
      <c r="E14" s="222"/>
      <c r="F14" s="246"/>
      <c r="G14" s="222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</row>
    <row r="15" spans="1:160" s="49" customFormat="1" ht="12.75">
      <c r="A15" s="213"/>
      <c r="B15" s="214" t="s">
        <v>284</v>
      </c>
      <c r="C15" s="215" t="s">
        <v>285</v>
      </c>
      <c r="D15" s="216"/>
      <c r="E15" s="217"/>
      <c r="F15" s="245"/>
      <c r="G15" s="217">
        <f>SUM(G16:G16)</f>
        <v>56.32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</row>
    <row r="16" spans="1:7" ht="22.5">
      <c r="A16" s="223">
        <v>85423</v>
      </c>
      <c r="B16" s="224" t="s">
        <v>588</v>
      </c>
      <c r="C16" s="30" t="str">
        <f>VLOOKUP(A16,Insumos!$A:$D,2,0)</f>
        <v>Isolamento de obra com tela plástica com malha de 5mm</v>
      </c>
      <c r="D16" s="159" t="str">
        <f>VLOOKUP(A16,Insumos!$A:$D,3,0)</f>
        <v>m²</v>
      </c>
      <c r="E16" s="225">
        <v>8</v>
      </c>
      <c r="F16" s="313">
        <f>VLOOKUP(A16,Insumos!$A:$D,4,0)</f>
        <v>7.04</v>
      </c>
      <c r="G16" s="226">
        <f>ROUND(E16*F16,2)</f>
        <v>56.32</v>
      </c>
    </row>
    <row r="17" spans="1:160" s="49" customFormat="1" ht="12.75">
      <c r="A17" s="218"/>
      <c r="B17" s="219" t="s">
        <v>286</v>
      </c>
      <c r="C17" s="220" t="s">
        <v>178</v>
      </c>
      <c r="D17" s="221"/>
      <c r="E17" s="222"/>
      <c r="F17" s="246"/>
      <c r="G17" s="222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</row>
    <row r="18" spans="1:160" s="49" customFormat="1" ht="12.75">
      <c r="A18" s="213"/>
      <c r="B18" s="214" t="s">
        <v>287</v>
      </c>
      <c r="C18" s="215" t="s">
        <v>288</v>
      </c>
      <c r="D18" s="216"/>
      <c r="E18" s="217"/>
      <c r="F18" s="245"/>
      <c r="G18" s="217">
        <f>SUM(G19:G21)</f>
        <v>602.92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</row>
    <row r="19" spans="1:7" ht="22.5">
      <c r="A19" s="223">
        <v>97629</v>
      </c>
      <c r="B19" s="224" t="s">
        <v>291</v>
      </c>
      <c r="C19" s="30" t="str">
        <f>VLOOKUP(A19,Insumos!$A:$D,2,0)</f>
        <v>Demolição de lajes, de forma mecanizada com martelete, sem reaproveitamento</v>
      </c>
      <c r="D19" s="159" t="str">
        <f>VLOOKUP(A19,Insumos!$A:$D,3,0)</f>
        <v>m³</v>
      </c>
      <c r="E19" s="225">
        <v>1</v>
      </c>
      <c r="F19" s="313">
        <f>VLOOKUP(A19,Insumos!$A:$D,4,0)</f>
        <v>94.28</v>
      </c>
      <c r="G19" s="226">
        <f>ROUND(E19*F19,2)</f>
        <v>94.28</v>
      </c>
    </row>
    <row r="20" spans="1:7" ht="22.5">
      <c r="A20" s="223">
        <v>97622</v>
      </c>
      <c r="B20" s="224" t="s">
        <v>420</v>
      </c>
      <c r="C20" s="30" t="str">
        <f>VLOOKUP(A20,Insumos!$A:$D,2,0)</f>
        <v>Demolição de alvenaria de bloco furado, de forma manual, sem reaproveitamento. Af_12/2017</v>
      </c>
      <c r="D20" s="159" t="str">
        <f>VLOOKUP(A20,Insumos!$A:$D,3,0)</f>
        <v>m³</v>
      </c>
      <c r="E20" s="225">
        <v>2</v>
      </c>
      <c r="F20" s="313">
        <f>VLOOKUP(A20,Insumos!$A:$D,4,0)</f>
        <v>41.53</v>
      </c>
      <c r="G20" s="226">
        <f>ROUND(E20*F20,2)</f>
        <v>83.06</v>
      </c>
    </row>
    <row r="21" spans="1:160" s="256" customFormat="1" ht="22.5">
      <c r="A21" s="223">
        <v>97631</v>
      </c>
      <c r="B21" s="224" t="s">
        <v>370</v>
      </c>
      <c r="C21" s="30" t="str">
        <f>VLOOKUP(A21,Insumos!$A:$D,2,0)</f>
        <v>Demolição de argamassas, de forma manual, sem reaproveitamento. AF_12/2017</v>
      </c>
      <c r="D21" s="159" t="str">
        <f>VLOOKUP(A21,Insumos!$A:$D,3,0)</f>
        <v>m²</v>
      </c>
      <c r="E21" s="225">
        <v>173</v>
      </c>
      <c r="F21" s="313">
        <f>VLOOKUP(A21,Insumos!$A:$D,4,0)</f>
        <v>2.46</v>
      </c>
      <c r="G21" s="226">
        <f>ROUND(E21*F21,2)</f>
        <v>425.58</v>
      </c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</row>
    <row r="22" spans="1:160" s="49" customFormat="1" ht="12.75">
      <c r="A22" s="213"/>
      <c r="B22" s="214" t="s">
        <v>289</v>
      </c>
      <c r="C22" s="215" t="s">
        <v>290</v>
      </c>
      <c r="D22" s="216"/>
      <c r="E22" s="217"/>
      <c r="F22" s="245"/>
      <c r="G22" s="217">
        <f>SUM(G23:G31)</f>
        <v>2827.3599999999997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</row>
    <row r="23" spans="1:160" s="256" customFormat="1" ht="33.75">
      <c r="A23" s="223">
        <v>97662</v>
      </c>
      <c r="B23" s="224" t="s">
        <v>257</v>
      </c>
      <c r="C23" s="30" t="str">
        <f>VLOOKUP(A23,Insumos!$A:$D,2,0)</f>
        <v>Remoção de tubulações (tubos e conexões) de água fria, de forma manual, sem reaproveitamento. AF_12/2017</v>
      </c>
      <c r="D23" s="159" t="str">
        <f>VLOOKUP(A23,Insumos!$A:$D,3,0)</f>
        <v>m</v>
      </c>
      <c r="E23" s="225">
        <v>71</v>
      </c>
      <c r="F23" s="313">
        <f>VLOOKUP(A23,Insumos!$A:$D,4,0)</f>
        <v>0.36</v>
      </c>
      <c r="G23" s="226">
        <f aca="true" t="shared" si="0" ref="G23:G30">ROUND(E23*F23,2)</f>
        <v>25.56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</row>
    <row r="24" spans="1:160" s="256" customFormat="1" ht="22.5">
      <c r="A24" s="223">
        <v>97666</v>
      </c>
      <c r="B24" s="224" t="s">
        <v>419</v>
      </c>
      <c r="C24" s="30" t="str">
        <f>VLOOKUP(A24,Insumos!$A:$D,2,0)</f>
        <v>Remoção de metais sanitários, de forma manual, sem reaproveitamento. AF_12/2017</v>
      </c>
      <c r="D24" s="159" t="str">
        <f>VLOOKUP(A24,Insumos!$A:$D,3,0)</f>
        <v>un</v>
      </c>
      <c r="E24" s="225">
        <v>5</v>
      </c>
      <c r="F24" s="313">
        <f>VLOOKUP(A24,Insumos!$A:$D,4,0)</f>
        <v>6.65</v>
      </c>
      <c r="G24" s="226">
        <f t="shared" si="0"/>
        <v>33.25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</row>
    <row r="25" spans="1:7" ht="12.75">
      <c r="A25" s="223" t="str">
        <f>"CCU "&amp;B25</f>
        <v>CCU 02.02.303</v>
      </c>
      <c r="B25" s="224" t="s">
        <v>370</v>
      </c>
      <c r="C25" s="30" t="s">
        <v>598</v>
      </c>
      <c r="D25" s="159" t="s">
        <v>248</v>
      </c>
      <c r="E25" s="225">
        <v>173</v>
      </c>
      <c r="F25" s="313">
        <f>VLOOKUP(A25,'CCU''s'!$A:$G,7,0)</f>
        <v>9.370000000000001</v>
      </c>
      <c r="G25" s="226">
        <f>ROUND(E25*F25,2)</f>
        <v>1621.01</v>
      </c>
    </row>
    <row r="26" spans="1:160" s="256" customFormat="1" ht="22.5">
      <c r="A26" s="223">
        <v>97641</v>
      </c>
      <c r="B26" s="224" t="s">
        <v>371</v>
      </c>
      <c r="C26" s="30" t="str">
        <f>VLOOKUP(A26,Insumos!$A:$D,2,0)</f>
        <v>Remoção de forro de gesso, de forma manual, sem reaproveitamento. AF_12/2017</v>
      </c>
      <c r="D26" s="159" t="s">
        <v>248</v>
      </c>
      <c r="E26" s="225">
        <v>10</v>
      </c>
      <c r="F26" s="313">
        <f>VLOOKUP(A26,Insumos!$A:$D,4,0)</f>
        <v>3.73</v>
      </c>
      <c r="G26" s="226">
        <f>ROUND(E26*F26,2)</f>
        <v>37.3</v>
      </c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</row>
    <row r="27" spans="1:160" s="256" customFormat="1" ht="45">
      <c r="A27" s="223">
        <v>91108</v>
      </c>
      <c r="B27" s="224" t="s">
        <v>500</v>
      </c>
      <c r="C27" s="30" t="str">
        <f>VLOOKUP(A27,Insumos!$A:$D,2,0)</f>
        <v>Transporte horizontal, tubos de PVC série normal - esgoto predial, ou reforçado para esgoto ou águas pluviais predial, com diâmetro maior que 100mm e menor ou igual a 150mm, manual, 30m. AF_06/2015</v>
      </c>
      <c r="D27" s="159" t="str">
        <f>VLOOKUP(A27,Insumos!$A:$D,3,0)</f>
        <v>m</v>
      </c>
      <c r="E27" s="225">
        <v>187</v>
      </c>
      <c r="F27" s="313">
        <f>VLOOKUP(A27,Insumos!$A:$D,4,0)</f>
        <v>0.15</v>
      </c>
      <c r="G27" s="226">
        <f t="shared" si="0"/>
        <v>28.05</v>
      </c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</row>
    <row r="28" spans="1:160" s="256" customFormat="1" ht="45">
      <c r="A28" s="223">
        <v>91107</v>
      </c>
      <c r="B28" s="224" t="s">
        <v>501</v>
      </c>
      <c r="C28" s="30" t="str">
        <f>VLOOKUP(A28,Insumos!$A:$D,2,0)</f>
        <v>Transporte horizontal, tubos de PVC série normal - esgoto predial, ou reforçado para esgoto ou águas pluviais predial, com diâmetro maior que 75mm e menor ou igual a 100mm, manual, 30m. AF_06/2015</v>
      </c>
      <c r="D28" s="159" t="str">
        <f>VLOOKUP(A28,Insumos!$A:$D,3,0)</f>
        <v>m</v>
      </c>
      <c r="E28" s="225">
        <v>15</v>
      </c>
      <c r="F28" s="313">
        <f>VLOOKUP(A28,Insumos!$A:$D,4,0)</f>
        <v>0.07</v>
      </c>
      <c r="G28" s="226">
        <f t="shared" si="0"/>
        <v>1.05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</row>
    <row r="29" spans="1:160" s="256" customFormat="1" ht="33.75">
      <c r="A29" s="223">
        <v>91105</v>
      </c>
      <c r="B29" s="224" t="s">
        <v>502</v>
      </c>
      <c r="C29" s="30" t="str">
        <f>VLOOKUP(A29,Insumos!$A:$D,2,0)</f>
        <v>Transporte horizontal, tubos de PVC soldável com diâmetro maior que 60mm e menor ou igual a 85mm, manual, 30m. AF_06/2015</v>
      </c>
      <c r="D29" s="159" t="str">
        <f>VLOOKUP(A29,Insumos!$A:$D,3,0)</f>
        <v>m</v>
      </c>
      <c r="E29" s="225">
        <v>72</v>
      </c>
      <c r="F29" s="313">
        <f>VLOOKUP(A29,Insumos!$A:$D,4,0)</f>
        <v>0.15</v>
      </c>
      <c r="G29" s="226">
        <f t="shared" si="0"/>
        <v>10.8</v>
      </c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</row>
    <row r="30" spans="1:160" s="256" customFormat="1" ht="33.75">
      <c r="A30" s="223">
        <v>91104</v>
      </c>
      <c r="B30" s="224" t="s">
        <v>503</v>
      </c>
      <c r="C30" s="30" t="str">
        <f>VLOOKUP(A30,Insumos!$A:$D,2,0)</f>
        <v>Transporte horizontal, tubos de PVC soldável com diâmetro menor ou igual a 60mm, manual, 30m. AF_06/2015</v>
      </c>
      <c r="D30" s="159" t="str">
        <f>VLOOKUP(A30,Insumos!$A:$D,3,0)</f>
        <v>m</v>
      </c>
      <c r="E30" s="225">
        <v>251</v>
      </c>
      <c r="F30" s="313">
        <f>VLOOKUP(A30,Insumos!$A:$D,4,0)</f>
        <v>0.06</v>
      </c>
      <c r="G30" s="226">
        <f t="shared" si="0"/>
        <v>15.06</v>
      </c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</row>
    <row r="31" spans="1:7" ht="12.75">
      <c r="A31" s="223" t="str">
        <f>"CCU "&amp;B31</f>
        <v>CCU 02.02.309</v>
      </c>
      <c r="B31" s="224" t="s">
        <v>504</v>
      </c>
      <c r="C31" s="30" t="s">
        <v>434</v>
      </c>
      <c r="D31" s="159" t="s">
        <v>250</v>
      </c>
      <c r="E31" s="225">
        <v>12</v>
      </c>
      <c r="F31" s="313">
        <f>VLOOKUP(A31,'CCU''s'!$A:$G,7,0)</f>
        <v>87.94</v>
      </c>
      <c r="G31" s="226">
        <f>ROUND(E31*F31,2)</f>
        <v>1055.28</v>
      </c>
    </row>
    <row r="32" spans="1:7" ht="12.75">
      <c r="A32" s="227"/>
      <c r="B32" s="204" t="s">
        <v>477</v>
      </c>
      <c r="C32" s="228" t="s">
        <v>478</v>
      </c>
      <c r="D32" s="229"/>
      <c r="E32" s="207"/>
      <c r="F32" s="57"/>
      <c r="G32" s="207">
        <f>SUM(G33:G49)/2</f>
        <v>18172.680000000004</v>
      </c>
    </row>
    <row r="33" spans="1:160" s="49" customFormat="1" ht="12.75">
      <c r="A33" s="218"/>
      <c r="B33" s="219" t="s">
        <v>448</v>
      </c>
      <c r="C33" s="220" t="s">
        <v>450</v>
      </c>
      <c r="D33" s="221"/>
      <c r="E33" s="222"/>
      <c r="F33" s="246"/>
      <c r="G33" s="222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</row>
    <row r="34" spans="1:160" s="49" customFormat="1" ht="12.75">
      <c r="A34" s="213"/>
      <c r="B34" s="214" t="s">
        <v>449</v>
      </c>
      <c r="C34" s="215" t="s">
        <v>451</v>
      </c>
      <c r="D34" s="216"/>
      <c r="E34" s="217"/>
      <c r="F34" s="245"/>
      <c r="G34" s="217">
        <f>SUM(G35:G49)</f>
        <v>18172.68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</row>
    <row r="35" spans="1:160" s="49" customFormat="1" ht="45">
      <c r="A35" s="223">
        <v>92776</v>
      </c>
      <c r="B35" s="224" t="s">
        <v>452</v>
      </c>
      <c r="C35" s="30" t="str">
        <f>VLOOKUP(A35,Insumos!$A:$D,2,0)</f>
        <v>Armação de pilar ou viga de uma estrutura convencional de concreto armado em uma edificação térrea ou sobrado utilizando aço CA-50 de 6,3 mm - montagem</v>
      </c>
      <c r="D35" s="159" t="str">
        <f>VLOOKUP(A35,Insumos!$A:$D,3,0)</f>
        <v>kg</v>
      </c>
      <c r="E35" s="225">
        <v>28</v>
      </c>
      <c r="F35" s="313">
        <f>VLOOKUP(A35,Insumos!$A:$D,4,0)</f>
        <v>10.91</v>
      </c>
      <c r="G35" s="226">
        <f aca="true" t="shared" si="1" ref="G35:G49">ROUND(E35*F35,2)</f>
        <v>305.48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</row>
    <row r="36" spans="1:160" s="49" customFormat="1" ht="45">
      <c r="A36" s="223">
        <v>92777</v>
      </c>
      <c r="B36" s="224" t="s">
        <v>480</v>
      </c>
      <c r="C36" s="30" t="str">
        <f>VLOOKUP(A36,Insumos!$A:$D,2,0)</f>
        <v>Armação de pilar ou viga de uma estrutura convencional de concreto armado em uma edificação térrea ou sobrado utilizando aço CA-50 de 8,0 mm - montagem</v>
      </c>
      <c r="D36" s="159" t="str">
        <f>VLOOKUP(A36,Insumos!$A:$D,3,0)</f>
        <v>kg</v>
      </c>
      <c r="E36" s="225">
        <v>143</v>
      </c>
      <c r="F36" s="313">
        <f>VLOOKUP(A36,Insumos!$A:$D,4,0)</f>
        <v>10.26</v>
      </c>
      <c r="G36" s="226">
        <f t="shared" si="1"/>
        <v>1467.18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</row>
    <row r="37" spans="1:160" s="49" customFormat="1" ht="45">
      <c r="A37" s="223">
        <v>92778</v>
      </c>
      <c r="B37" s="224" t="s">
        <v>388</v>
      </c>
      <c r="C37" s="30" t="str">
        <f>VLOOKUP(A37,Insumos!$A:$D,2,0)</f>
        <v>Armação de pilar ou viga de uma estrutura convencional de concreto armado em uma edificação térrea ou sobrado utilizando aço CA-50 de 10,0 mm - montagem</v>
      </c>
      <c r="D37" s="159" t="str">
        <f>VLOOKUP(A37,Insumos!$A:$D,3,0)</f>
        <v>kg</v>
      </c>
      <c r="E37" s="225">
        <v>132</v>
      </c>
      <c r="F37" s="313">
        <f>VLOOKUP(A37,Insumos!$A:$D,4,0)</f>
        <v>8.29</v>
      </c>
      <c r="G37" s="226">
        <f t="shared" si="1"/>
        <v>1094.28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</row>
    <row r="38" spans="1:160" s="49" customFormat="1" ht="45">
      <c r="A38" s="223">
        <v>92779</v>
      </c>
      <c r="B38" s="224" t="s">
        <v>389</v>
      </c>
      <c r="C38" s="30" t="str">
        <f>VLOOKUP(A38,Insumos!$A:$D,2,0)</f>
        <v>Armação de pilar ou viga de uma estrutura convencional de concreto armado em uma edificação térrea ou sobrado utilizando aço CA-50 de 12,5 mm - montagem</v>
      </c>
      <c r="D38" s="159" t="str">
        <f>VLOOKUP(A38,Insumos!$A:$D,3,0)</f>
        <v>kg</v>
      </c>
      <c r="E38" s="225">
        <v>14</v>
      </c>
      <c r="F38" s="313">
        <f>VLOOKUP(A38,Insumos!$A:$D,4,0)</f>
        <v>7.24</v>
      </c>
      <c r="G38" s="226">
        <f t="shared" si="1"/>
        <v>101.36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</row>
    <row r="39" spans="1:160" s="49" customFormat="1" ht="45">
      <c r="A39" s="223">
        <v>92780</v>
      </c>
      <c r="B39" s="224" t="s">
        <v>390</v>
      </c>
      <c r="C39" s="30" t="str">
        <f>VLOOKUP(A39,Insumos!$A:$D,2,0)</f>
        <v>Armação de pilar ou viga de uma estrutura convencional de concreto armado em uma edificação térrea ou sobrado utilizando aço CA-50 de 16 mm - montagem</v>
      </c>
      <c r="D39" s="159" t="str">
        <f>VLOOKUP(A39,Insumos!$A:$D,3,0)</f>
        <v>kg</v>
      </c>
      <c r="E39" s="225">
        <v>55</v>
      </c>
      <c r="F39" s="313">
        <f>VLOOKUP(A39,Insumos!$A:$D,4,0)</f>
        <v>6.59</v>
      </c>
      <c r="G39" s="226">
        <f t="shared" si="1"/>
        <v>362.45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</row>
    <row r="40" spans="1:160" s="49" customFormat="1" ht="33.75">
      <c r="A40" s="223">
        <v>92446</v>
      </c>
      <c r="B40" s="224" t="s">
        <v>389</v>
      </c>
      <c r="C40" s="30" t="str">
        <f>VLOOKUP(A40,Insumos!$A:$D,2,0)</f>
        <v>Montagem e desmontagem de fôrma de viga, escoramento com pontalete de madeira, pé-direito simples, em madeira serrada, 1 utilização</v>
      </c>
      <c r="D40" s="159" t="str">
        <f>VLOOKUP(A40,Insumos!$A:$D,3,0)</f>
        <v>m²</v>
      </c>
      <c r="E40" s="225">
        <v>31</v>
      </c>
      <c r="F40" s="313">
        <f>VLOOKUP(A40,Insumos!$A:$D,4,0)</f>
        <v>161.34</v>
      </c>
      <c r="G40" s="226">
        <f t="shared" si="1"/>
        <v>5001.54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</row>
    <row r="41" spans="1:160" s="49" customFormat="1" ht="33.75">
      <c r="A41" s="223">
        <v>92418</v>
      </c>
      <c r="B41" s="224" t="s">
        <v>390</v>
      </c>
      <c r="C41" s="30" t="str">
        <f>VLOOKUP(A41,Insumos!$A:$D,2,0)</f>
        <v>Montagem e desmontagem de fôrma de laje maciça com área média menor ou igual a 20 m², pé-direito simples, em madeira serrada, 1 utilização</v>
      </c>
      <c r="D41" s="159" t="str">
        <f>VLOOKUP(A41,Insumos!$A:$D,3,0)</f>
        <v>m²</v>
      </c>
      <c r="E41" s="225">
        <v>8</v>
      </c>
      <c r="F41" s="313">
        <f>VLOOKUP(A41,Insumos!$A:$D,4,0)</f>
        <v>61.17</v>
      </c>
      <c r="G41" s="226">
        <f t="shared" si="1"/>
        <v>489.36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</row>
    <row r="42" spans="1:160" s="49" customFormat="1" ht="56.25">
      <c r="A42" s="223" t="str">
        <f>"CCU "&amp;B42</f>
        <v>CCU 03.02.106</v>
      </c>
      <c r="B42" s="224" t="s">
        <v>391</v>
      </c>
      <c r="C42" s="30" t="s">
        <v>601</v>
      </c>
      <c r="D42" s="159" t="s">
        <v>250</v>
      </c>
      <c r="E42" s="225">
        <v>4</v>
      </c>
      <c r="F42" s="313">
        <f>VLOOKUP(A42,'CCU''s'!$A:$G,7,0)</f>
        <v>777.2</v>
      </c>
      <c r="G42" s="226">
        <f t="shared" si="1"/>
        <v>3108.8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</row>
    <row r="43" spans="1:160" s="49" customFormat="1" ht="22.5">
      <c r="A43" s="223" t="str">
        <f>"CCU "&amp;B43</f>
        <v>CCU 03.02.107</v>
      </c>
      <c r="B43" s="224" t="s">
        <v>392</v>
      </c>
      <c r="C43" s="30" t="s">
        <v>600</v>
      </c>
      <c r="D43" s="159" t="s">
        <v>248</v>
      </c>
      <c r="E43" s="225">
        <v>26</v>
      </c>
      <c r="F43" s="313">
        <f>VLOOKUP(A43,'CCU''s'!$A:$G,7,0)</f>
        <v>157.45000000000002</v>
      </c>
      <c r="G43" s="226">
        <f t="shared" si="1"/>
        <v>4093.7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</row>
    <row r="44" spans="1:160" s="49" customFormat="1" ht="33.75">
      <c r="A44" s="223">
        <v>90280</v>
      </c>
      <c r="B44" s="224" t="s">
        <v>397</v>
      </c>
      <c r="C44" s="30" t="str">
        <f>VLOOKUP(A44,Insumos!$A:$D,2,0)</f>
        <v>Graute fck=25 MPa; traço 1:0,02:1,2:1,5 (cimento/ cal/ areia grossa/ brita 0) - preparo mecânico com betoneira 400 l</v>
      </c>
      <c r="D44" s="159" t="str">
        <f>VLOOKUP(A44,Insumos!$A:$D,3,0)</f>
        <v>m³</v>
      </c>
      <c r="E44" s="225">
        <v>1</v>
      </c>
      <c r="F44" s="313">
        <f>VLOOKUP(A44,Insumos!$A:$D,4,0)</f>
        <v>350.56</v>
      </c>
      <c r="G44" s="226">
        <f t="shared" si="1"/>
        <v>350.56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</row>
    <row r="45" spans="1:160" s="49" customFormat="1" ht="33.75">
      <c r="A45" s="223" t="str">
        <f>"CCU "&amp;B45</f>
        <v>CCU 03.02.110</v>
      </c>
      <c r="B45" s="224" t="s">
        <v>402</v>
      </c>
      <c r="C45" s="30" t="s">
        <v>591</v>
      </c>
      <c r="D45" s="159" t="s">
        <v>248</v>
      </c>
      <c r="E45" s="225">
        <v>13</v>
      </c>
      <c r="F45" s="313">
        <f>VLOOKUP(A45,'CCU''s'!$A:$G,7,0)</f>
        <v>17.8</v>
      </c>
      <c r="G45" s="226">
        <f t="shared" si="1"/>
        <v>231.4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</row>
    <row r="46" spans="1:160" s="49" customFormat="1" ht="22.5">
      <c r="A46" s="223" t="str">
        <f>"CCU "&amp;B46</f>
        <v>CCU 03.02.111</v>
      </c>
      <c r="B46" s="224" t="s">
        <v>552</v>
      </c>
      <c r="C46" s="30" t="s">
        <v>609</v>
      </c>
      <c r="D46" s="159" t="s">
        <v>251</v>
      </c>
      <c r="E46" s="225">
        <v>126</v>
      </c>
      <c r="F46" s="313">
        <f>VLOOKUP(A46,'CCU''s'!$A:$G,7,0)</f>
        <v>8.48</v>
      </c>
      <c r="G46" s="226">
        <f t="shared" si="1"/>
        <v>1068.48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</row>
    <row r="47" spans="1:160" s="49" customFormat="1" ht="22.5">
      <c r="A47" s="223" t="str">
        <f>"CCU "&amp;B47</f>
        <v>CCU 03.02.112</v>
      </c>
      <c r="B47" s="224" t="s">
        <v>610</v>
      </c>
      <c r="C47" s="30" t="s">
        <v>611</v>
      </c>
      <c r="D47" s="159" t="s">
        <v>251</v>
      </c>
      <c r="E47" s="225">
        <v>44</v>
      </c>
      <c r="F47" s="313">
        <f>VLOOKUP(A47,'CCU''s'!$A:$G,7,0)</f>
        <v>9.04</v>
      </c>
      <c r="G47" s="226">
        <f t="shared" si="1"/>
        <v>397.76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</row>
    <row r="48" spans="1:160" s="49" customFormat="1" ht="22.5">
      <c r="A48" s="223" t="str">
        <f>"CCU "&amp;B48</f>
        <v>CCU 03.02.113</v>
      </c>
      <c r="B48" s="224" t="s">
        <v>612</v>
      </c>
      <c r="C48" s="30" t="s">
        <v>614</v>
      </c>
      <c r="D48" s="159" t="s">
        <v>251</v>
      </c>
      <c r="E48" s="225">
        <v>2</v>
      </c>
      <c r="F48" s="313">
        <f>VLOOKUP(A48,'CCU''s'!$A:$G,7,0)</f>
        <v>12.04</v>
      </c>
      <c r="G48" s="226">
        <f t="shared" si="1"/>
        <v>24.08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</row>
    <row r="49" spans="1:160" s="49" customFormat="1" ht="22.5">
      <c r="A49" s="223" t="str">
        <f>"CCU "&amp;B49</f>
        <v>CCU 03.02.114</v>
      </c>
      <c r="B49" s="224" t="s">
        <v>613</v>
      </c>
      <c r="C49" s="30" t="s">
        <v>615</v>
      </c>
      <c r="D49" s="159" t="s">
        <v>251</v>
      </c>
      <c r="E49" s="225">
        <v>5</v>
      </c>
      <c r="F49" s="313">
        <f>VLOOKUP(A49,'CCU''s'!$A:$G,7,0)</f>
        <v>15.25</v>
      </c>
      <c r="G49" s="226">
        <f t="shared" si="1"/>
        <v>76.25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</row>
    <row r="50" spans="1:160" s="49" customFormat="1" ht="12.75">
      <c r="A50" s="227"/>
      <c r="B50" s="204" t="s">
        <v>272</v>
      </c>
      <c r="C50" s="205" t="s">
        <v>274</v>
      </c>
      <c r="D50" s="206"/>
      <c r="E50" s="207"/>
      <c r="F50" s="57"/>
      <c r="G50" s="207">
        <f>SUM(G51:G73)/2</f>
        <v>33836.950000000004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</row>
    <row r="51" spans="1:247" ht="12.75">
      <c r="A51" s="213"/>
      <c r="B51" s="214" t="s">
        <v>258</v>
      </c>
      <c r="C51" s="215" t="s">
        <v>259</v>
      </c>
      <c r="D51" s="216"/>
      <c r="E51" s="217"/>
      <c r="F51" s="245"/>
      <c r="G51" s="217">
        <f>SUM(G53:G53)</f>
        <v>1419.59</v>
      </c>
      <c r="H51" s="220"/>
      <c r="I51" s="221"/>
      <c r="J51" s="222"/>
      <c r="K51" s="246"/>
      <c r="L51" s="222"/>
      <c r="M51" s="218"/>
      <c r="N51" s="219"/>
      <c r="O51" s="220"/>
      <c r="P51" s="221"/>
      <c r="Q51" s="222"/>
      <c r="R51" s="246"/>
      <c r="S51" s="222"/>
      <c r="T51" s="218"/>
      <c r="U51" s="219"/>
      <c r="V51" s="220"/>
      <c r="W51" s="221"/>
      <c r="X51" s="222"/>
      <c r="Y51" s="246"/>
      <c r="Z51" s="222"/>
      <c r="AA51" s="218"/>
      <c r="AB51" s="219"/>
      <c r="AC51" s="220"/>
      <c r="AD51" s="221"/>
      <c r="AE51" s="222"/>
      <c r="AF51" s="246"/>
      <c r="AG51" s="222"/>
      <c r="AH51" s="218"/>
      <c r="AI51" s="219"/>
      <c r="AJ51" s="220"/>
      <c r="AK51" s="221"/>
      <c r="AL51" s="222"/>
      <c r="AM51" s="246"/>
      <c r="AN51" s="222"/>
      <c r="AO51" s="218"/>
      <c r="AP51" s="219"/>
      <c r="AQ51" s="220"/>
      <c r="AR51" s="221"/>
      <c r="AS51" s="222"/>
      <c r="AT51" s="246"/>
      <c r="AU51" s="222"/>
      <c r="AV51" s="218"/>
      <c r="AW51" s="219"/>
      <c r="AX51" s="220"/>
      <c r="AY51" s="221"/>
      <c r="AZ51" s="222"/>
      <c r="BA51" s="246"/>
      <c r="BB51" s="222"/>
      <c r="BC51" s="218"/>
      <c r="BD51" s="219"/>
      <c r="BE51" s="220"/>
      <c r="BF51" s="221"/>
      <c r="BG51" s="222"/>
      <c r="BH51" s="246"/>
      <c r="BI51" s="222"/>
      <c r="BJ51" s="218"/>
      <c r="BK51" s="219"/>
      <c r="BL51" s="220"/>
      <c r="BM51" s="221"/>
      <c r="BN51" s="222"/>
      <c r="BO51" s="246"/>
      <c r="BP51" s="222"/>
      <c r="BQ51" s="218"/>
      <c r="BR51" s="219"/>
      <c r="BS51" s="220"/>
      <c r="BT51" s="221"/>
      <c r="BU51" s="222"/>
      <c r="BV51" s="246"/>
      <c r="BW51" s="222"/>
      <c r="BX51" s="218"/>
      <c r="BY51" s="219"/>
      <c r="BZ51" s="220"/>
      <c r="CA51" s="221"/>
      <c r="CB51" s="222"/>
      <c r="CC51" s="246"/>
      <c r="CD51" s="222"/>
      <c r="CE51" s="218"/>
      <c r="CF51" s="219"/>
      <c r="CG51" s="220"/>
      <c r="CH51" s="221"/>
      <c r="CI51" s="222"/>
      <c r="CJ51" s="246"/>
      <c r="CK51" s="222"/>
      <c r="CL51" s="218"/>
      <c r="CM51" s="219"/>
      <c r="CN51" s="220"/>
      <c r="CO51" s="221"/>
      <c r="CP51" s="222"/>
      <c r="CQ51" s="246"/>
      <c r="CR51" s="222"/>
      <c r="CS51" s="218"/>
      <c r="CT51" s="219"/>
      <c r="CU51" s="220"/>
      <c r="CV51" s="221"/>
      <c r="CW51" s="222"/>
      <c r="CX51" s="246"/>
      <c r="CY51" s="222"/>
      <c r="CZ51" s="218"/>
      <c r="DA51" s="219"/>
      <c r="DB51" s="220"/>
      <c r="DC51" s="221"/>
      <c r="DD51" s="222"/>
      <c r="DE51" s="246"/>
      <c r="DF51" s="222"/>
      <c r="DG51" s="218"/>
      <c r="DH51" s="219"/>
      <c r="DI51" s="220"/>
      <c r="DJ51" s="221"/>
      <c r="DK51" s="222"/>
      <c r="DL51" s="246"/>
      <c r="DM51" s="222"/>
      <c r="DN51" s="218"/>
      <c r="DO51" s="219"/>
      <c r="DP51" s="220"/>
      <c r="DQ51" s="221"/>
      <c r="DR51" s="222"/>
      <c r="DS51" s="246"/>
      <c r="DT51" s="222"/>
      <c r="DU51" s="218"/>
      <c r="DV51" s="219"/>
      <c r="DW51" s="220"/>
      <c r="DX51" s="221"/>
      <c r="DY51" s="222"/>
      <c r="DZ51" s="246"/>
      <c r="EA51" s="222"/>
      <c r="EB51" s="218"/>
      <c r="EC51" s="219"/>
      <c r="ED51" s="220"/>
      <c r="EE51" s="221"/>
      <c r="EF51" s="222"/>
      <c r="EG51" s="246"/>
      <c r="EH51" s="222"/>
      <c r="EI51" s="218"/>
      <c r="EJ51" s="219"/>
      <c r="EK51" s="220"/>
      <c r="EL51" s="221"/>
      <c r="EM51" s="222"/>
      <c r="EN51" s="246"/>
      <c r="EO51" s="222"/>
      <c r="EP51" s="218"/>
      <c r="EQ51" s="219"/>
      <c r="ER51" s="220"/>
      <c r="ES51" s="221"/>
      <c r="ET51" s="222"/>
      <c r="EU51" s="246"/>
      <c r="EV51" s="222"/>
      <c r="EW51" s="218"/>
      <c r="EX51" s="219"/>
      <c r="EY51" s="220"/>
      <c r="EZ51" s="221"/>
      <c r="FA51" s="222"/>
      <c r="FB51" s="246"/>
      <c r="FC51" s="222"/>
      <c r="FD51" s="218"/>
      <c r="FE51" s="219"/>
      <c r="FF51" s="220"/>
      <c r="FG51" s="221"/>
      <c r="FH51" s="222"/>
      <c r="FI51" s="246"/>
      <c r="FJ51" s="222"/>
      <c r="FK51" s="218"/>
      <c r="FL51" s="219"/>
      <c r="FM51" s="220"/>
      <c r="FN51" s="221"/>
      <c r="FO51" s="222"/>
      <c r="FP51" s="246"/>
      <c r="FQ51" s="222"/>
      <c r="FR51" s="218"/>
      <c r="FS51" s="219"/>
      <c r="FT51" s="220"/>
      <c r="FU51" s="221"/>
      <c r="FV51" s="222"/>
      <c r="FW51" s="246"/>
      <c r="FX51" s="222"/>
      <c r="FY51" s="218"/>
      <c r="FZ51" s="219"/>
      <c r="GA51" s="220"/>
      <c r="GB51" s="221"/>
      <c r="GC51" s="222"/>
      <c r="GD51" s="246"/>
      <c r="GE51" s="222"/>
      <c r="GF51" s="218"/>
      <c r="GG51" s="219"/>
      <c r="GH51" s="220"/>
      <c r="GI51" s="221"/>
      <c r="GJ51" s="222"/>
      <c r="GK51" s="246"/>
      <c r="GL51" s="222"/>
      <c r="GM51" s="218"/>
      <c r="GN51" s="219"/>
      <c r="GO51" s="220"/>
      <c r="GP51" s="221"/>
      <c r="GQ51" s="222"/>
      <c r="GR51" s="246"/>
      <c r="GS51" s="222"/>
      <c r="GT51" s="218"/>
      <c r="GU51" s="219"/>
      <c r="GV51" s="220"/>
      <c r="GW51" s="221"/>
      <c r="GX51" s="222"/>
      <c r="GY51" s="246"/>
      <c r="GZ51" s="222"/>
      <c r="HA51" s="218"/>
      <c r="HB51" s="219"/>
      <c r="HC51" s="220"/>
      <c r="HD51" s="221"/>
      <c r="HE51" s="222"/>
      <c r="HF51" s="246"/>
      <c r="HG51" s="222"/>
      <c r="HH51" s="218"/>
      <c r="HI51" s="219"/>
      <c r="HJ51" s="220"/>
      <c r="HK51" s="221"/>
      <c r="HL51" s="222"/>
      <c r="HM51" s="246"/>
      <c r="HN51" s="222"/>
      <c r="HO51" s="218"/>
      <c r="HP51" s="219"/>
      <c r="HQ51" s="220"/>
      <c r="HR51" s="221"/>
      <c r="HS51" s="222"/>
      <c r="HT51" s="246"/>
      <c r="HU51" s="222"/>
      <c r="HV51" s="218"/>
      <c r="HW51" s="219"/>
      <c r="HX51" s="220"/>
      <c r="HY51" s="221"/>
      <c r="HZ51" s="222"/>
      <c r="IA51" s="246"/>
      <c r="IB51" s="222"/>
      <c r="IC51" s="218"/>
      <c r="ID51" s="219"/>
      <c r="IE51" s="220"/>
      <c r="IF51" s="221"/>
      <c r="IG51" s="222"/>
      <c r="IH51" s="246"/>
      <c r="II51" s="222"/>
      <c r="IJ51" s="218"/>
      <c r="IK51" s="219"/>
      <c r="IL51" s="220"/>
      <c r="IM51" s="221"/>
    </row>
    <row r="52" spans="1:7" ht="12.75">
      <c r="A52" s="236"/>
      <c r="B52" s="219" t="s">
        <v>201</v>
      </c>
      <c r="C52" s="237" t="s">
        <v>202</v>
      </c>
      <c r="D52" s="238"/>
      <c r="E52" s="225"/>
      <c r="F52" s="246"/>
      <c r="G52" s="222"/>
    </row>
    <row r="53" spans="1:7" ht="56.25">
      <c r="A53" s="223" t="str">
        <f>"CCU "&amp;B53</f>
        <v>CCU 04.01.251</v>
      </c>
      <c r="B53" s="224" t="s">
        <v>421</v>
      </c>
      <c r="C53" s="30" t="s">
        <v>21</v>
      </c>
      <c r="D53" s="159" t="s">
        <v>251</v>
      </c>
      <c r="E53" s="225">
        <v>1</v>
      </c>
      <c r="F53" s="313">
        <f>VLOOKUP(A53,'CCU''s'!$A:$G,7,0)</f>
        <v>1419.59</v>
      </c>
      <c r="G53" s="226">
        <f>ROUND(E53*F53,2)</f>
        <v>1419.59</v>
      </c>
    </row>
    <row r="54" spans="1:247" ht="12.75">
      <c r="A54" s="213"/>
      <c r="B54" s="214" t="s">
        <v>260</v>
      </c>
      <c r="C54" s="215" t="s">
        <v>261</v>
      </c>
      <c r="D54" s="216"/>
      <c r="E54" s="217"/>
      <c r="F54" s="245"/>
      <c r="G54" s="217">
        <f>SUM(G55:G67)</f>
        <v>12836.880000000001</v>
      </c>
      <c r="H54" s="220"/>
      <c r="I54" s="221"/>
      <c r="J54" s="222"/>
      <c r="K54" s="246"/>
      <c r="L54" s="222"/>
      <c r="M54" s="218"/>
      <c r="N54" s="219"/>
      <c r="O54" s="220"/>
      <c r="P54" s="221"/>
      <c r="Q54" s="222"/>
      <c r="R54" s="246"/>
      <c r="S54" s="222"/>
      <c r="T54" s="218"/>
      <c r="U54" s="219"/>
      <c r="V54" s="220"/>
      <c r="W54" s="221"/>
      <c r="X54" s="222"/>
      <c r="Y54" s="246"/>
      <c r="Z54" s="222"/>
      <c r="AA54" s="218"/>
      <c r="AB54" s="219"/>
      <c r="AC54" s="220"/>
      <c r="AD54" s="221"/>
      <c r="AE54" s="222"/>
      <c r="AF54" s="246"/>
      <c r="AG54" s="222"/>
      <c r="AH54" s="218"/>
      <c r="AI54" s="219"/>
      <c r="AJ54" s="220"/>
      <c r="AK54" s="221"/>
      <c r="AL54" s="222"/>
      <c r="AM54" s="246"/>
      <c r="AN54" s="222"/>
      <c r="AO54" s="218"/>
      <c r="AP54" s="219"/>
      <c r="AQ54" s="220"/>
      <c r="AR54" s="221"/>
      <c r="AS54" s="222"/>
      <c r="AT54" s="246"/>
      <c r="AU54" s="222"/>
      <c r="AV54" s="218"/>
      <c r="AW54" s="219"/>
      <c r="AX54" s="220"/>
      <c r="AY54" s="221"/>
      <c r="AZ54" s="222"/>
      <c r="BA54" s="246"/>
      <c r="BB54" s="222"/>
      <c r="BC54" s="218"/>
      <c r="BD54" s="219"/>
      <c r="BE54" s="220"/>
      <c r="BF54" s="221"/>
      <c r="BG54" s="222"/>
      <c r="BH54" s="246"/>
      <c r="BI54" s="222"/>
      <c r="BJ54" s="218"/>
      <c r="BK54" s="219"/>
      <c r="BL54" s="220"/>
      <c r="BM54" s="221"/>
      <c r="BN54" s="222"/>
      <c r="BO54" s="246"/>
      <c r="BP54" s="222"/>
      <c r="BQ54" s="218"/>
      <c r="BR54" s="219"/>
      <c r="BS54" s="220"/>
      <c r="BT54" s="221"/>
      <c r="BU54" s="222"/>
      <c r="BV54" s="246"/>
      <c r="BW54" s="222"/>
      <c r="BX54" s="218"/>
      <c r="BY54" s="219"/>
      <c r="BZ54" s="220"/>
      <c r="CA54" s="221"/>
      <c r="CB54" s="222"/>
      <c r="CC54" s="246"/>
      <c r="CD54" s="222"/>
      <c r="CE54" s="218"/>
      <c r="CF54" s="219"/>
      <c r="CG54" s="220"/>
      <c r="CH54" s="221"/>
      <c r="CI54" s="222"/>
      <c r="CJ54" s="246"/>
      <c r="CK54" s="222"/>
      <c r="CL54" s="218"/>
      <c r="CM54" s="219"/>
      <c r="CN54" s="220"/>
      <c r="CO54" s="221"/>
      <c r="CP54" s="222"/>
      <c r="CQ54" s="246"/>
      <c r="CR54" s="222"/>
      <c r="CS54" s="218"/>
      <c r="CT54" s="219"/>
      <c r="CU54" s="220"/>
      <c r="CV54" s="221"/>
      <c r="CW54" s="222"/>
      <c r="CX54" s="246"/>
      <c r="CY54" s="222"/>
      <c r="CZ54" s="218"/>
      <c r="DA54" s="219"/>
      <c r="DB54" s="220"/>
      <c r="DC54" s="221"/>
      <c r="DD54" s="222"/>
      <c r="DE54" s="246"/>
      <c r="DF54" s="222"/>
      <c r="DG54" s="218"/>
      <c r="DH54" s="219"/>
      <c r="DI54" s="220"/>
      <c r="DJ54" s="221"/>
      <c r="DK54" s="222"/>
      <c r="DL54" s="246"/>
      <c r="DM54" s="222"/>
      <c r="DN54" s="218"/>
      <c r="DO54" s="219"/>
      <c r="DP54" s="220"/>
      <c r="DQ54" s="221"/>
      <c r="DR54" s="222"/>
      <c r="DS54" s="246"/>
      <c r="DT54" s="222"/>
      <c r="DU54" s="218"/>
      <c r="DV54" s="219"/>
      <c r="DW54" s="220"/>
      <c r="DX54" s="221"/>
      <c r="DY54" s="222"/>
      <c r="DZ54" s="246"/>
      <c r="EA54" s="222"/>
      <c r="EB54" s="218"/>
      <c r="EC54" s="219"/>
      <c r="ED54" s="220"/>
      <c r="EE54" s="221"/>
      <c r="EF54" s="222"/>
      <c r="EG54" s="246"/>
      <c r="EH54" s="222"/>
      <c r="EI54" s="218"/>
      <c r="EJ54" s="219"/>
      <c r="EK54" s="220"/>
      <c r="EL54" s="221"/>
      <c r="EM54" s="222"/>
      <c r="EN54" s="246"/>
      <c r="EO54" s="222"/>
      <c r="EP54" s="218"/>
      <c r="EQ54" s="219"/>
      <c r="ER54" s="220"/>
      <c r="ES54" s="221"/>
      <c r="ET54" s="222"/>
      <c r="EU54" s="246"/>
      <c r="EV54" s="222"/>
      <c r="EW54" s="218"/>
      <c r="EX54" s="219"/>
      <c r="EY54" s="220"/>
      <c r="EZ54" s="221"/>
      <c r="FA54" s="222"/>
      <c r="FB54" s="246"/>
      <c r="FC54" s="222"/>
      <c r="FD54" s="218"/>
      <c r="FE54" s="219"/>
      <c r="FF54" s="220"/>
      <c r="FG54" s="221"/>
      <c r="FH54" s="222"/>
      <c r="FI54" s="246"/>
      <c r="FJ54" s="222"/>
      <c r="FK54" s="218"/>
      <c r="FL54" s="219"/>
      <c r="FM54" s="220"/>
      <c r="FN54" s="221"/>
      <c r="FO54" s="222"/>
      <c r="FP54" s="246"/>
      <c r="FQ54" s="222"/>
      <c r="FR54" s="218"/>
      <c r="FS54" s="219"/>
      <c r="FT54" s="220"/>
      <c r="FU54" s="221"/>
      <c r="FV54" s="222"/>
      <c r="FW54" s="246"/>
      <c r="FX54" s="222"/>
      <c r="FY54" s="218"/>
      <c r="FZ54" s="219"/>
      <c r="GA54" s="220"/>
      <c r="GB54" s="221"/>
      <c r="GC54" s="222"/>
      <c r="GD54" s="246"/>
      <c r="GE54" s="222"/>
      <c r="GF54" s="218"/>
      <c r="GG54" s="219"/>
      <c r="GH54" s="220"/>
      <c r="GI54" s="221"/>
      <c r="GJ54" s="222"/>
      <c r="GK54" s="246"/>
      <c r="GL54" s="222"/>
      <c r="GM54" s="218"/>
      <c r="GN54" s="219"/>
      <c r="GO54" s="220"/>
      <c r="GP54" s="221"/>
      <c r="GQ54" s="222"/>
      <c r="GR54" s="246"/>
      <c r="GS54" s="222"/>
      <c r="GT54" s="218"/>
      <c r="GU54" s="219"/>
      <c r="GV54" s="220"/>
      <c r="GW54" s="221"/>
      <c r="GX54" s="222"/>
      <c r="GY54" s="246"/>
      <c r="GZ54" s="222"/>
      <c r="HA54" s="218"/>
      <c r="HB54" s="219"/>
      <c r="HC54" s="220"/>
      <c r="HD54" s="221"/>
      <c r="HE54" s="222"/>
      <c r="HF54" s="246"/>
      <c r="HG54" s="222"/>
      <c r="HH54" s="218"/>
      <c r="HI54" s="219"/>
      <c r="HJ54" s="220"/>
      <c r="HK54" s="221"/>
      <c r="HL54" s="222"/>
      <c r="HM54" s="246"/>
      <c r="HN54" s="222"/>
      <c r="HO54" s="218"/>
      <c r="HP54" s="219"/>
      <c r="HQ54" s="220"/>
      <c r="HR54" s="221"/>
      <c r="HS54" s="222"/>
      <c r="HT54" s="246"/>
      <c r="HU54" s="222"/>
      <c r="HV54" s="218"/>
      <c r="HW54" s="219"/>
      <c r="HX54" s="220"/>
      <c r="HY54" s="221"/>
      <c r="HZ54" s="222"/>
      <c r="IA54" s="246"/>
      <c r="IB54" s="222"/>
      <c r="IC54" s="218"/>
      <c r="ID54" s="219"/>
      <c r="IE54" s="220"/>
      <c r="IF54" s="221"/>
      <c r="IG54" s="222"/>
      <c r="IH54" s="246"/>
      <c r="II54" s="222"/>
      <c r="IJ54" s="218"/>
      <c r="IK54" s="219"/>
      <c r="IL54" s="220"/>
      <c r="IM54" s="221"/>
    </row>
    <row r="55" spans="1:247" ht="12.75">
      <c r="A55" s="218"/>
      <c r="B55" s="219" t="s">
        <v>566</v>
      </c>
      <c r="C55" s="220" t="s">
        <v>567</v>
      </c>
      <c r="D55" s="221"/>
      <c r="E55" s="222"/>
      <c r="F55" s="246"/>
      <c r="G55" s="222"/>
      <c r="H55" s="267"/>
      <c r="I55" s="268"/>
      <c r="J55" s="264"/>
      <c r="K55" s="269"/>
      <c r="L55" s="264"/>
      <c r="M55" s="265"/>
      <c r="N55" s="266"/>
      <c r="O55" s="267"/>
      <c r="P55" s="268"/>
      <c r="Q55" s="264"/>
      <c r="R55" s="269"/>
      <c r="S55" s="264"/>
      <c r="T55" s="265"/>
      <c r="U55" s="266"/>
      <c r="V55" s="267"/>
      <c r="W55" s="268"/>
      <c r="X55" s="264"/>
      <c r="Y55" s="269"/>
      <c r="Z55" s="264"/>
      <c r="AA55" s="265"/>
      <c r="AB55" s="266"/>
      <c r="AC55" s="267"/>
      <c r="AD55" s="268"/>
      <c r="AE55" s="264"/>
      <c r="AF55" s="269"/>
      <c r="AG55" s="264"/>
      <c r="AH55" s="265"/>
      <c r="AI55" s="266"/>
      <c r="AJ55" s="267"/>
      <c r="AK55" s="268"/>
      <c r="AL55" s="264"/>
      <c r="AM55" s="269"/>
      <c r="AN55" s="264"/>
      <c r="AO55" s="265"/>
      <c r="AP55" s="266"/>
      <c r="AQ55" s="267"/>
      <c r="AR55" s="268"/>
      <c r="AS55" s="264"/>
      <c r="AT55" s="269"/>
      <c r="AU55" s="264"/>
      <c r="AV55" s="265"/>
      <c r="AW55" s="266"/>
      <c r="AX55" s="267"/>
      <c r="AY55" s="268"/>
      <c r="AZ55" s="264"/>
      <c r="BA55" s="269"/>
      <c r="BB55" s="264"/>
      <c r="BC55" s="265"/>
      <c r="BD55" s="266"/>
      <c r="BE55" s="267"/>
      <c r="BF55" s="268"/>
      <c r="BG55" s="264"/>
      <c r="BH55" s="269"/>
      <c r="BI55" s="264"/>
      <c r="BJ55" s="265"/>
      <c r="BK55" s="266"/>
      <c r="BL55" s="267"/>
      <c r="BM55" s="268"/>
      <c r="BN55" s="264"/>
      <c r="BO55" s="269"/>
      <c r="BP55" s="264"/>
      <c r="BQ55" s="265"/>
      <c r="BR55" s="266"/>
      <c r="BS55" s="267"/>
      <c r="BT55" s="268"/>
      <c r="BU55" s="264"/>
      <c r="BV55" s="269"/>
      <c r="BW55" s="264"/>
      <c r="BX55" s="265"/>
      <c r="BY55" s="266"/>
      <c r="BZ55" s="267"/>
      <c r="CA55" s="268"/>
      <c r="CB55" s="264"/>
      <c r="CC55" s="269"/>
      <c r="CD55" s="264"/>
      <c r="CE55" s="265"/>
      <c r="CF55" s="266"/>
      <c r="CG55" s="267"/>
      <c r="CH55" s="268"/>
      <c r="CI55" s="264"/>
      <c r="CJ55" s="269"/>
      <c r="CK55" s="264"/>
      <c r="CL55" s="265"/>
      <c r="CM55" s="266"/>
      <c r="CN55" s="267"/>
      <c r="CO55" s="268"/>
      <c r="CP55" s="264"/>
      <c r="CQ55" s="269"/>
      <c r="CR55" s="264"/>
      <c r="CS55" s="265"/>
      <c r="CT55" s="266"/>
      <c r="CU55" s="267"/>
      <c r="CV55" s="268"/>
      <c r="CW55" s="264"/>
      <c r="CX55" s="269"/>
      <c r="CY55" s="264"/>
      <c r="CZ55" s="265"/>
      <c r="DA55" s="266"/>
      <c r="DB55" s="267"/>
      <c r="DC55" s="268"/>
      <c r="DD55" s="264"/>
      <c r="DE55" s="269"/>
      <c r="DF55" s="264"/>
      <c r="DG55" s="265"/>
      <c r="DH55" s="266"/>
      <c r="DI55" s="267"/>
      <c r="DJ55" s="268"/>
      <c r="DK55" s="264"/>
      <c r="DL55" s="269"/>
      <c r="DM55" s="264"/>
      <c r="DN55" s="265"/>
      <c r="DO55" s="266"/>
      <c r="DP55" s="267"/>
      <c r="DQ55" s="268"/>
      <c r="DR55" s="264"/>
      <c r="DS55" s="269"/>
      <c r="DT55" s="264"/>
      <c r="DU55" s="265"/>
      <c r="DV55" s="266"/>
      <c r="DW55" s="267"/>
      <c r="DX55" s="268"/>
      <c r="DY55" s="264"/>
      <c r="DZ55" s="269"/>
      <c r="EA55" s="264"/>
      <c r="EB55" s="265"/>
      <c r="EC55" s="266"/>
      <c r="ED55" s="267"/>
      <c r="EE55" s="268"/>
      <c r="EF55" s="264"/>
      <c r="EG55" s="269"/>
      <c r="EH55" s="264"/>
      <c r="EI55" s="265"/>
      <c r="EJ55" s="266"/>
      <c r="EK55" s="267"/>
      <c r="EL55" s="268"/>
      <c r="EM55" s="264"/>
      <c r="EN55" s="269"/>
      <c r="EO55" s="264"/>
      <c r="EP55" s="265"/>
      <c r="EQ55" s="266"/>
      <c r="ER55" s="267"/>
      <c r="ES55" s="268"/>
      <c r="ET55" s="264"/>
      <c r="EU55" s="269"/>
      <c r="EV55" s="264"/>
      <c r="EW55" s="265"/>
      <c r="EX55" s="266"/>
      <c r="EY55" s="267"/>
      <c r="EZ55" s="268"/>
      <c r="FA55" s="264"/>
      <c r="FB55" s="269"/>
      <c r="FC55" s="264"/>
      <c r="FD55" s="265"/>
      <c r="FE55" s="266"/>
      <c r="FF55" s="267"/>
      <c r="FG55" s="268"/>
      <c r="FH55" s="264"/>
      <c r="FI55" s="269"/>
      <c r="FJ55" s="264"/>
      <c r="FK55" s="265"/>
      <c r="FL55" s="266"/>
      <c r="FM55" s="267"/>
      <c r="FN55" s="268"/>
      <c r="FO55" s="264"/>
      <c r="FP55" s="269"/>
      <c r="FQ55" s="264"/>
      <c r="FR55" s="265"/>
      <c r="FS55" s="266"/>
      <c r="FT55" s="267"/>
      <c r="FU55" s="268"/>
      <c r="FV55" s="264"/>
      <c r="FW55" s="269"/>
      <c r="FX55" s="264"/>
      <c r="FY55" s="265"/>
      <c r="FZ55" s="266"/>
      <c r="GA55" s="267"/>
      <c r="GB55" s="268"/>
      <c r="GC55" s="264"/>
      <c r="GD55" s="269"/>
      <c r="GE55" s="264"/>
      <c r="GF55" s="265"/>
      <c r="GG55" s="266"/>
      <c r="GH55" s="267"/>
      <c r="GI55" s="268"/>
      <c r="GJ55" s="264"/>
      <c r="GK55" s="269"/>
      <c r="GL55" s="264"/>
      <c r="GM55" s="265"/>
      <c r="GN55" s="266"/>
      <c r="GO55" s="267"/>
      <c r="GP55" s="268"/>
      <c r="GQ55" s="264"/>
      <c r="GR55" s="269"/>
      <c r="GS55" s="264"/>
      <c r="GT55" s="265"/>
      <c r="GU55" s="266"/>
      <c r="GV55" s="267"/>
      <c r="GW55" s="268"/>
      <c r="GX55" s="264"/>
      <c r="GY55" s="269"/>
      <c r="GZ55" s="264"/>
      <c r="HA55" s="265"/>
      <c r="HB55" s="266"/>
      <c r="HC55" s="267"/>
      <c r="HD55" s="268"/>
      <c r="HE55" s="264"/>
      <c r="HF55" s="269"/>
      <c r="HG55" s="264"/>
      <c r="HH55" s="265"/>
      <c r="HI55" s="266"/>
      <c r="HJ55" s="267"/>
      <c r="HK55" s="268"/>
      <c r="HL55" s="264"/>
      <c r="HM55" s="269"/>
      <c r="HN55" s="264"/>
      <c r="HO55" s="265"/>
      <c r="HP55" s="266"/>
      <c r="HQ55" s="267"/>
      <c r="HR55" s="268"/>
      <c r="HS55" s="264"/>
      <c r="HT55" s="269"/>
      <c r="HU55" s="264"/>
      <c r="HV55" s="265"/>
      <c r="HW55" s="266"/>
      <c r="HX55" s="267"/>
      <c r="HY55" s="268"/>
      <c r="HZ55" s="264"/>
      <c r="IA55" s="269"/>
      <c r="IB55" s="264"/>
      <c r="IC55" s="265"/>
      <c r="ID55" s="266"/>
      <c r="IE55" s="267"/>
      <c r="IF55" s="268"/>
      <c r="IG55" s="264"/>
      <c r="IH55" s="269"/>
      <c r="II55" s="264"/>
      <c r="IJ55" s="265"/>
      <c r="IK55" s="266"/>
      <c r="IL55" s="267"/>
      <c r="IM55" s="268"/>
    </row>
    <row r="56" spans="1:247" ht="33.75">
      <c r="A56" s="223" t="str">
        <f>"CCU "&amp;B56</f>
        <v>CCU 04.01.511</v>
      </c>
      <c r="B56" s="224" t="s">
        <v>568</v>
      </c>
      <c r="C56" s="30" t="s">
        <v>570</v>
      </c>
      <c r="D56" s="159" t="s">
        <v>248</v>
      </c>
      <c r="E56" s="225">
        <v>6</v>
      </c>
      <c r="F56" s="313">
        <f>VLOOKUP(A56,'CCU''s'!$A:$G,7,0)</f>
        <v>94.46000000000001</v>
      </c>
      <c r="G56" s="226">
        <f>ROUND(E56*F56,2)</f>
        <v>566.76</v>
      </c>
      <c r="H56" s="267"/>
      <c r="I56" s="268"/>
      <c r="J56" s="264"/>
      <c r="K56" s="269"/>
      <c r="L56" s="264"/>
      <c r="M56" s="265"/>
      <c r="N56" s="266"/>
      <c r="O56" s="267"/>
      <c r="P56" s="268"/>
      <c r="Q56" s="264"/>
      <c r="R56" s="269"/>
      <c r="S56" s="264"/>
      <c r="T56" s="265"/>
      <c r="U56" s="266"/>
      <c r="V56" s="267"/>
      <c r="W56" s="268"/>
      <c r="X56" s="264"/>
      <c r="Y56" s="269"/>
      <c r="Z56" s="264"/>
      <c r="AA56" s="265"/>
      <c r="AB56" s="266"/>
      <c r="AC56" s="267"/>
      <c r="AD56" s="268"/>
      <c r="AE56" s="264"/>
      <c r="AF56" s="269"/>
      <c r="AG56" s="264"/>
      <c r="AH56" s="265"/>
      <c r="AI56" s="266"/>
      <c r="AJ56" s="267"/>
      <c r="AK56" s="268"/>
      <c r="AL56" s="264"/>
      <c r="AM56" s="269"/>
      <c r="AN56" s="264"/>
      <c r="AO56" s="265"/>
      <c r="AP56" s="266"/>
      <c r="AQ56" s="267"/>
      <c r="AR56" s="268"/>
      <c r="AS56" s="264"/>
      <c r="AT56" s="269"/>
      <c r="AU56" s="264"/>
      <c r="AV56" s="265"/>
      <c r="AW56" s="266"/>
      <c r="AX56" s="267"/>
      <c r="AY56" s="268"/>
      <c r="AZ56" s="264"/>
      <c r="BA56" s="269"/>
      <c r="BB56" s="264"/>
      <c r="BC56" s="265"/>
      <c r="BD56" s="266"/>
      <c r="BE56" s="267"/>
      <c r="BF56" s="268"/>
      <c r="BG56" s="264"/>
      <c r="BH56" s="269"/>
      <c r="BI56" s="264"/>
      <c r="BJ56" s="265"/>
      <c r="BK56" s="266"/>
      <c r="BL56" s="267"/>
      <c r="BM56" s="268"/>
      <c r="BN56" s="264"/>
      <c r="BO56" s="269"/>
      <c r="BP56" s="264"/>
      <c r="BQ56" s="265"/>
      <c r="BR56" s="266"/>
      <c r="BS56" s="267"/>
      <c r="BT56" s="268"/>
      <c r="BU56" s="264"/>
      <c r="BV56" s="269"/>
      <c r="BW56" s="264"/>
      <c r="BX56" s="265"/>
      <c r="BY56" s="266"/>
      <c r="BZ56" s="267"/>
      <c r="CA56" s="268"/>
      <c r="CB56" s="264"/>
      <c r="CC56" s="269"/>
      <c r="CD56" s="264"/>
      <c r="CE56" s="265"/>
      <c r="CF56" s="266"/>
      <c r="CG56" s="267"/>
      <c r="CH56" s="268"/>
      <c r="CI56" s="264"/>
      <c r="CJ56" s="269"/>
      <c r="CK56" s="264"/>
      <c r="CL56" s="265"/>
      <c r="CM56" s="266"/>
      <c r="CN56" s="267"/>
      <c r="CO56" s="268"/>
      <c r="CP56" s="264"/>
      <c r="CQ56" s="269"/>
      <c r="CR56" s="264"/>
      <c r="CS56" s="265"/>
      <c r="CT56" s="266"/>
      <c r="CU56" s="267"/>
      <c r="CV56" s="268"/>
      <c r="CW56" s="264"/>
      <c r="CX56" s="269"/>
      <c r="CY56" s="264"/>
      <c r="CZ56" s="265"/>
      <c r="DA56" s="266"/>
      <c r="DB56" s="267"/>
      <c r="DC56" s="268"/>
      <c r="DD56" s="264"/>
      <c r="DE56" s="269"/>
      <c r="DF56" s="264"/>
      <c r="DG56" s="265"/>
      <c r="DH56" s="266"/>
      <c r="DI56" s="267"/>
      <c r="DJ56" s="268"/>
      <c r="DK56" s="264"/>
      <c r="DL56" s="269"/>
      <c r="DM56" s="264"/>
      <c r="DN56" s="265"/>
      <c r="DO56" s="266"/>
      <c r="DP56" s="267"/>
      <c r="DQ56" s="268"/>
      <c r="DR56" s="264"/>
      <c r="DS56" s="269"/>
      <c r="DT56" s="264"/>
      <c r="DU56" s="265"/>
      <c r="DV56" s="266"/>
      <c r="DW56" s="267"/>
      <c r="DX56" s="268"/>
      <c r="DY56" s="264"/>
      <c r="DZ56" s="269"/>
      <c r="EA56" s="264"/>
      <c r="EB56" s="265"/>
      <c r="EC56" s="266"/>
      <c r="ED56" s="267"/>
      <c r="EE56" s="268"/>
      <c r="EF56" s="264"/>
      <c r="EG56" s="269"/>
      <c r="EH56" s="264"/>
      <c r="EI56" s="265"/>
      <c r="EJ56" s="266"/>
      <c r="EK56" s="267"/>
      <c r="EL56" s="268"/>
      <c r="EM56" s="264"/>
      <c r="EN56" s="269"/>
      <c r="EO56" s="264"/>
      <c r="EP56" s="265"/>
      <c r="EQ56" s="266"/>
      <c r="ER56" s="267"/>
      <c r="ES56" s="268"/>
      <c r="ET56" s="264"/>
      <c r="EU56" s="269"/>
      <c r="EV56" s="264"/>
      <c r="EW56" s="265"/>
      <c r="EX56" s="266"/>
      <c r="EY56" s="267"/>
      <c r="EZ56" s="268"/>
      <c r="FA56" s="264"/>
      <c r="FB56" s="269"/>
      <c r="FC56" s="264"/>
      <c r="FD56" s="265"/>
      <c r="FE56" s="266"/>
      <c r="FF56" s="267"/>
      <c r="FG56" s="268"/>
      <c r="FH56" s="264"/>
      <c r="FI56" s="269"/>
      <c r="FJ56" s="264"/>
      <c r="FK56" s="265"/>
      <c r="FL56" s="266"/>
      <c r="FM56" s="267"/>
      <c r="FN56" s="268"/>
      <c r="FO56" s="264"/>
      <c r="FP56" s="269"/>
      <c r="FQ56" s="264"/>
      <c r="FR56" s="265"/>
      <c r="FS56" s="266"/>
      <c r="FT56" s="267"/>
      <c r="FU56" s="268"/>
      <c r="FV56" s="264"/>
      <c r="FW56" s="269"/>
      <c r="FX56" s="264"/>
      <c r="FY56" s="265"/>
      <c r="FZ56" s="266"/>
      <c r="GA56" s="267"/>
      <c r="GB56" s="268"/>
      <c r="GC56" s="264"/>
      <c r="GD56" s="269"/>
      <c r="GE56" s="264"/>
      <c r="GF56" s="265"/>
      <c r="GG56" s="266"/>
      <c r="GH56" s="267"/>
      <c r="GI56" s="268"/>
      <c r="GJ56" s="264"/>
      <c r="GK56" s="269"/>
      <c r="GL56" s="264"/>
      <c r="GM56" s="265"/>
      <c r="GN56" s="266"/>
      <c r="GO56" s="267"/>
      <c r="GP56" s="268"/>
      <c r="GQ56" s="264"/>
      <c r="GR56" s="269"/>
      <c r="GS56" s="264"/>
      <c r="GT56" s="265"/>
      <c r="GU56" s="266"/>
      <c r="GV56" s="267"/>
      <c r="GW56" s="268"/>
      <c r="GX56" s="264"/>
      <c r="GY56" s="269"/>
      <c r="GZ56" s="264"/>
      <c r="HA56" s="265"/>
      <c r="HB56" s="266"/>
      <c r="HC56" s="267"/>
      <c r="HD56" s="268"/>
      <c r="HE56" s="264"/>
      <c r="HF56" s="269"/>
      <c r="HG56" s="264"/>
      <c r="HH56" s="265"/>
      <c r="HI56" s="266"/>
      <c r="HJ56" s="267"/>
      <c r="HK56" s="268"/>
      <c r="HL56" s="264"/>
      <c r="HM56" s="269"/>
      <c r="HN56" s="264"/>
      <c r="HO56" s="265"/>
      <c r="HP56" s="266"/>
      <c r="HQ56" s="267"/>
      <c r="HR56" s="268"/>
      <c r="HS56" s="264"/>
      <c r="HT56" s="269"/>
      <c r="HU56" s="264"/>
      <c r="HV56" s="265"/>
      <c r="HW56" s="266"/>
      <c r="HX56" s="267"/>
      <c r="HY56" s="268"/>
      <c r="HZ56" s="264"/>
      <c r="IA56" s="269"/>
      <c r="IB56" s="264"/>
      <c r="IC56" s="265"/>
      <c r="ID56" s="266"/>
      <c r="IE56" s="267"/>
      <c r="IF56" s="268"/>
      <c r="IG56" s="264"/>
      <c r="IH56" s="269"/>
      <c r="II56" s="264"/>
      <c r="IJ56" s="265"/>
      <c r="IK56" s="266"/>
      <c r="IL56" s="267"/>
      <c r="IM56" s="268"/>
    </row>
    <row r="57" spans="1:247" ht="33.75">
      <c r="A57" s="223" t="str">
        <f>"CCU "&amp;B57</f>
        <v>CCU 04.01.512</v>
      </c>
      <c r="B57" s="224" t="s">
        <v>569</v>
      </c>
      <c r="C57" s="30" t="s">
        <v>571</v>
      </c>
      <c r="D57" s="159" t="s">
        <v>248</v>
      </c>
      <c r="E57" s="225">
        <v>11</v>
      </c>
      <c r="F57" s="313">
        <f>VLOOKUP(A57,'CCU''s'!$A:$G,7,0)</f>
        <v>67.92999999999999</v>
      </c>
      <c r="G57" s="226">
        <f>ROUND(E57*F57,2)</f>
        <v>747.23</v>
      </c>
      <c r="H57" s="267"/>
      <c r="I57" s="268"/>
      <c r="J57" s="264"/>
      <c r="K57" s="269"/>
      <c r="L57" s="264"/>
      <c r="M57" s="265"/>
      <c r="N57" s="266"/>
      <c r="O57" s="267"/>
      <c r="P57" s="268"/>
      <c r="Q57" s="264"/>
      <c r="R57" s="269"/>
      <c r="S57" s="264"/>
      <c r="T57" s="265"/>
      <c r="U57" s="266"/>
      <c r="V57" s="267"/>
      <c r="W57" s="268"/>
      <c r="X57" s="264"/>
      <c r="Y57" s="269"/>
      <c r="Z57" s="264"/>
      <c r="AA57" s="265"/>
      <c r="AB57" s="266"/>
      <c r="AC57" s="267"/>
      <c r="AD57" s="268"/>
      <c r="AE57" s="264"/>
      <c r="AF57" s="269"/>
      <c r="AG57" s="264"/>
      <c r="AH57" s="265"/>
      <c r="AI57" s="266"/>
      <c r="AJ57" s="267"/>
      <c r="AK57" s="268"/>
      <c r="AL57" s="264"/>
      <c r="AM57" s="269"/>
      <c r="AN57" s="264"/>
      <c r="AO57" s="265"/>
      <c r="AP57" s="266"/>
      <c r="AQ57" s="267"/>
      <c r="AR57" s="268"/>
      <c r="AS57" s="264"/>
      <c r="AT57" s="269"/>
      <c r="AU57" s="264"/>
      <c r="AV57" s="265"/>
      <c r="AW57" s="266"/>
      <c r="AX57" s="267"/>
      <c r="AY57" s="268"/>
      <c r="AZ57" s="264"/>
      <c r="BA57" s="269"/>
      <c r="BB57" s="264"/>
      <c r="BC57" s="265"/>
      <c r="BD57" s="266"/>
      <c r="BE57" s="267"/>
      <c r="BF57" s="268"/>
      <c r="BG57" s="264"/>
      <c r="BH57" s="269"/>
      <c r="BI57" s="264"/>
      <c r="BJ57" s="265"/>
      <c r="BK57" s="266"/>
      <c r="BL57" s="267"/>
      <c r="BM57" s="268"/>
      <c r="BN57" s="264"/>
      <c r="BO57" s="269"/>
      <c r="BP57" s="264"/>
      <c r="BQ57" s="265"/>
      <c r="BR57" s="266"/>
      <c r="BS57" s="267"/>
      <c r="BT57" s="268"/>
      <c r="BU57" s="264"/>
      <c r="BV57" s="269"/>
      <c r="BW57" s="264"/>
      <c r="BX57" s="265"/>
      <c r="BY57" s="266"/>
      <c r="BZ57" s="267"/>
      <c r="CA57" s="268"/>
      <c r="CB57" s="264"/>
      <c r="CC57" s="269"/>
      <c r="CD57" s="264"/>
      <c r="CE57" s="265"/>
      <c r="CF57" s="266"/>
      <c r="CG57" s="267"/>
      <c r="CH57" s="268"/>
      <c r="CI57" s="264"/>
      <c r="CJ57" s="269"/>
      <c r="CK57" s="264"/>
      <c r="CL57" s="265"/>
      <c r="CM57" s="266"/>
      <c r="CN57" s="267"/>
      <c r="CO57" s="268"/>
      <c r="CP57" s="264"/>
      <c r="CQ57" s="269"/>
      <c r="CR57" s="264"/>
      <c r="CS57" s="265"/>
      <c r="CT57" s="266"/>
      <c r="CU57" s="267"/>
      <c r="CV57" s="268"/>
      <c r="CW57" s="264"/>
      <c r="CX57" s="269"/>
      <c r="CY57" s="264"/>
      <c r="CZ57" s="265"/>
      <c r="DA57" s="266"/>
      <c r="DB57" s="267"/>
      <c r="DC57" s="268"/>
      <c r="DD57" s="264"/>
      <c r="DE57" s="269"/>
      <c r="DF57" s="264"/>
      <c r="DG57" s="265"/>
      <c r="DH57" s="266"/>
      <c r="DI57" s="267"/>
      <c r="DJ57" s="268"/>
      <c r="DK57" s="264"/>
      <c r="DL57" s="269"/>
      <c r="DM57" s="264"/>
      <c r="DN57" s="265"/>
      <c r="DO57" s="266"/>
      <c r="DP57" s="267"/>
      <c r="DQ57" s="268"/>
      <c r="DR57" s="264"/>
      <c r="DS57" s="269"/>
      <c r="DT57" s="264"/>
      <c r="DU57" s="265"/>
      <c r="DV57" s="266"/>
      <c r="DW57" s="267"/>
      <c r="DX57" s="268"/>
      <c r="DY57" s="264"/>
      <c r="DZ57" s="269"/>
      <c r="EA57" s="264"/>
      <c r="EB57" s="265"/>
      <c r="EC57" s="266"/>
      <c r="ED57" s="267"/>
      <c r="EE57" s="268"/>
      <c r="EF57" s="264"/>
      <c r="EG57" s="269"/>
      <c r="EH57" s="264"/>
      <c r="EI57" s="265"/>
      <c r="EJ57" s="266"/>
      <c r="EK57" s="267"/>
      <c r="EL57" s="268"/>
      <c r="EM57" s="264"/>
      <c r="EN57" s="269"/>
      <c r="EO57" s="264"/>
      <c r="EP57" s="265"/>
      <c r="EQ57" s="266"/>
      <c r="ER57" s="267"/>
      <c r="ES57" s="268"/>
      <c r="ET57" s="264"/>
      <c r="EU57" s="269"/>
      <c r="EV57" s="264"/>
      <c r="EW57" s="265"/>
      <c r="EX57" s="266"/>
      <c r="EY57" s="267"/>
      <c r="EZ57" s="268"/>
      <c r="FA57" s="264"/>
      <c r="FB57" s="269"/>
      <c r="FC57" s="264"/>
      <c r="FD57" s="265"/>
      <c r="FE57" s="266"/>
      <c r="FF57" s="267"/>
      <c r="FG57" s="268"/>
      <c r="FH57" s="264"/>
      <c r="FI57" s="269"/>
      <c r="FJ57" s="264"/>
      <c r="FK57" s="265"/>
      <c r="FL57" s="266"/>
      <c r="FM57" s="267"/>
      <c r="FN57" s="268"/>
      <c r="FO57" s="264"/>
      <c r="FP57" s="269"/>
      <c r="FQ57" s="264"/>
      <c r="FR57" s="265"/>
      <c r="FS57" s="266"/>
      <c r="FT57" s="267"/>
      <c r="FU57" s="268"/>
      <c r="FV57" s="264"/>
      <c r="FW57" s="269"/>
      <c r="FX57" s="264"/>
      <c r="FY57" s="265"/>
      <c r="FZ57" s="266"/>
      <c r="GA57" s="267"/>
      <c r="GB57" s="268"/>
      <c r="GC57" s="264"/>
      <c r="GD57" s="269"/>
      <c r="GE57" s="264"/>
      <c r="GF57" s="265"/>
      <c r="GG57" s="266"/>
      <c r="GH57" s="267"/>
      <c r="GI57" s="268"/>
      <c r="GJ57" s="264"/>
      <c r="GK57" s="269"/>
      <c r="GL57" s="264"/>
      <c r="GM57" s="265"/>
      <c r="GN57" s="266"/>
      <c r="GO57" s="267"/>
      <c r="GP57" s="268"/>
      <c r="GQ57" s="264"/>
      <c r="GR57" s="269"/>
      <c r="GS57" s="264"/>
      <c r="GT57" s="265"/>
      <c r="GU57" s="266"/>
      <c r="GV57" s="267"/>
      <c r="GW57" s="268"/>
      <c r="GX57" s="264"/>
      <c r="GY57" s="269"/>
      <c r="GZ57" s="264"/>
      <c r="HA57" s="265"/>
      <c r="HB57" s="266"/>
      <c r="HC57" s="267"/>
      <c r="HD57" s="268"/>
      <c r="HE57" s="264"/>
      <c r="HF57" s="269"/>
      <c r="HG57" s="264"/>
      <c r="HH57" s="265"/>
      <c r="HI57" s="266"/>
      <c r="HJ57" s="267"/>
      <c r="HK57" s="268"/>
      <c r="HL57" s="264"/>
      <c r="HM57" s="269"/>
      <c r="HN57" s="264"/>
      <c r="HO57" s="265"/>
      <c r="HP57" s="266"/>
      <c r="HQ57" s="267"/>
      <c r="HR57" s="268"/>
      <c r="HS57" s="264"/>
      <c r="HT57" s="269"/>
      <c r="HU57" s="264"/>
      <c r="HV57" s="265"/>
      <c r="HW57" s="266"/>
      <c r="HX57" s="267"/>
      <c r="HY57" s="268"/>
      <c r="HZ57" s="264"/>
      <c r="IA57" s="269"/>
      <c r="IB57" s="264"/>
      <c r="IC57" s="265"/>
      <c r="ID57" s="266"/>
      <c r="IE57" s="267"/>
      <c r="IF57" s="268"/>
      <c r="IG57" s="264"/>
      <c r="IH57" s="269"/>
      <c r="II57" s="264"/>
      <c r="IJ57" s="265"/>
      <c r="IK57" s="266"/>
      <c r="IL57" s="267"/>
      <c r="IM57" s="268"/>
    </row>
    <row r="58" spans="1:7" ht="12.75">
      <c r="A58" s="218"/>
      <c r="B58" s="219" t="s">
        <v>394</v>
      </c>
      <c r="C58" s="220" t="s">
        <v>395</v>
      </c>
      <c r="D58" s="221"/>
      <c r="E58" s="222"/>
      <c r="F58" s="246"/>
      <c r="G58" s="222"/>
    </row>
    <row r="59" spans="1:7" ht="33.75">
      <c r="A59" s="223" t="str">
        <f>"CCU "&amp;B59</f>
        <v>CCU 04.01.551</v>
      </c>
      <c r="B59" s="224" t="s">
        <v>396</v>
      </c>
      <c r="C59" s="30" t="s">
        <v>403</v>
      </c>
      <c r="D59" s="159" t="s">
        <v>248</v>
      </c>
      <c r="E59" s="225">
        <v>10</v>
      </c>
      <c r="F59" s="313">
        <f>VLOOKUP(A59,'CCU''s'!$A:$G,7,0)</f>
        <v>55.16</v>
      </c>
      <c r="G59" s="226">
        <f>ROUND(E59*F59,2)</f>
        <v>551.6</v>
      </c>
    </row>
    <row r="60" spans="1:247" ht="12.75">
      <c r="A60" s="218"/>
      <c r="B60" s="219" t="s">
        <v>262</v>
      </c>
      <c r="C60" s="220" t="s">
        <v>263</v>
      </c>
      <c r="D60" s="221"/>
      <c r="E60" s="222"/>
      <c r="F60" s="246"/>
      <c r="G60" s="222"/>
      <c r="H60" s="220"/>
      <c r="I60" s="221"/>
      <c r="J60" s="222"/>
      <c r="K60" s="246"/>
      <c r="L60" s="222"/>
      <c r="M60" s="218"/>
      <c r="N60" s="219"/>
      <c r="O60" s="220"/>
      <c r="P60" s="221"/>
      <c r="Q60" s="222"/>
      <c r="R60" s="246"/>
      <c r="S60" s="222"/>
      <c r="T60" s="218"/>
      <c r="U60" s="219"/>
      <c r="V60" s="220"/>
      <c r="W60" s="221"/>
      <c r="X60" s="222"/>
      <c r="Y60" s="246"/>
      <c r="Z60" s="222"/>
      <c r="AA60" s="218"/>
      <c r="AB60" s="219"/>
      <c r="AC60" s="220"/>
      <c r="AD60" s="221"/>
      <c r="AE60" s="222"/>
      <c r="AF60" s="246"/>
      <c r="AG60" s="222"/>
      <c r="AH60" s="218"/>
      <c r="AI60" s="219"/>
      <c r="AJ60" s="220"/>
      <c r="AK60" s="221"/>
      <c r="AL60" s="222"/>
      <c r="AM60" s="246"/>
      <c r="AN60" s="222"/>
      <c r="AO60" s="218"/>
      <c r="AP60" s="219"/>
      <c r="AQ60" s="220"/>
      <c r="AR60" s="221"/>
      <c r="AS60" s="222"/>
      <c r="AT60" s="246"/>
      <c r="AU60" s="222"/>
      <c r="AV60" s="218"/>
      <c r="AW60" s="219"/>
      <c r="AX60" s="220"/>
      <c r="AY60" s="221"/>
      <c r="AZ60" s="222"/>
      <c r="BA60" s="246"/>
      <c r="BB60" s="222"/>
      <c r="BC60" s="218"/>
      <c r="BD60" s="219"/>
      <c r="BE60" s="220"/>
      <c r="BF60" s="221"/>
      <c r="BG60" s="222"/>
      <c r="BH60" s="246"/>
      <c r="BI60" s="222"/>
      <c r="BJ60" s="218"/>
      <c r="BK60" s="219"/>
      <c r="BL60" s="220"/>
      <c r="BM60" s="221"/>
      <c r="BN60" s="222"/>
      <c r="BO60" s="246"/>
      <c r="BP60" s="222"/>
      <c r="BQ60" s="218"/>
      <c r="BR60" s="219"/>
      <c r="BS60" s="220"/>
      <c r="BT60" s="221"/>
      <c r="BU60" s="222"/>
      <c r="BV60" s="246"/>
      <c r="BW60" s="222"/>
      <c r="BX60" s="218"/>
      <c r="BY60" s="219"/>
      <c r="BZ60" s="220"/>
      <c r="CA60" s="221"/>
      <c r="CB60" s="222"/>
      <c r="CC60" s="246"/>
      <c r="CD60" s="222"/>
      <c r="CE60" s="218"/>
      <c r="CF60" s="219"/>
      <c r="CG60" s="220"/>
      <c r="CH60" s="221"/>
      <c r="CI60" s="222"/>
      <c r="CJ60" s="246"/>
      <c r="CK60" s="222"/>
      <c r="CL60" s="218"/>
      <c r="CM60" s="219"/>
      <c r="CN60" s="220"/>
      <c r="CO60" s="221"/>
      <c r="CP60" s="222"/>
      <c r="CQ60" s="246"/>
      <c r="CR60" s="222"/>
      <c r="CS60" s="218"/>
      <c r="CT60" s="219"/>
      <c r="CU60" s="220"/>
      <c r="CV60" s="221"/>
      <c r="CW60" s="222"/>
      <c r="CX60" s="246"/>
      <c r="CY60" s="222"/>
      <c r="CZ60" s="218"/>
      <c r="DA60" s="219"/>
      <c r="DB60" s="220"/>
      <c r="DC60" s="221"/>
      <c r="DD60" s="222"/>
      <c r="DE60" s="246"/>
      <c r="DF60" s="222"/>
      <c r="DG60" s="218"/>
      <c r="DH60" s="219"/>
      <c r="DI60" s="220"/>
      <c r="DJ60" s="221"/>
      <c r="DK60" s="222"/>
      <c r="DL60" s="246"/>
      <c r="DM60" s="222"/>
      <c r="DN60" s="218"/>
      <c r="DO60" s="219"/>
      <c r="DP60" s="220"/>
      <c r="DQ60" s="221"/>
      <c r="DR60" s="222"/>
      <c r="DS60" s="246"/>
      <c r="DT60" s="222"/>
      <c r="DU60" s="218"/>
      <c r="DV60" s="219"/>
      <c r="DW60" s="220"/>
      <c r="DX60" s="221"/>
      <c r="DY60" s="222"/>
      <c r="DZ60" s="246"/>
      <c r="EA60" s="222"/>
      <c r="EB60" s="218"/>
      <c r="EC60" s="219"/>
      <c r="ED60" s="220"/>
      <c r="EE60" s="221"/>
      <c r="EF60" s="222"/>
      <c r="EG60" s="246"/>
      <c r="EH60" s="222"/>
      <c r="EI60" s="218"/>
      <c r="EJ60" s="219"/>
      <c r="EK60" s="220"/>
      <c r="EL60" s="221"/>
      <c r="EM60" s="222"/>
      <c r="EN60" s="246"/>
      <c r="EO60" s="222"/>
      <c r="EP60" s="218"/>
      <c r="EQ60" s="219"/>
      <c r="ER60" s="220"/>
      <c r="ES60" s="221"/>
      <c r="ET60" s="222"/>
      <c r="EU60" s="246"/>
      <c r="EV60" s="222"/>
      <c r="EW60" s="218"/>
      <c r="EX60" s="219"/>
      <c r="EY60" s="220"/>
      <c r="EZ60" s="221"/>
      <c r="FA60" s="222"/>
      <c r="FB60" s="246"/>
      <c r="FC60" s="222"/>
      <c r="FD60" s="218"/>
      <c r="FE60" s="219"/>
      <c r="FF60" s="220"/>
      <c r="FG60" s="221"/>
      <c r="FH60" s="222"/>
      <c r="FI60" s="246"/>
      <c r="FJ60" s="222"/>
      <c r="FK60" s="218"/>
      <c r="FL60" s="219"/>
      <c r="FM60" s="220"/>
      <c r="FN60" s="221"/>
      <c r="FO60" s="222"/>
      <c r="FP60" s="246"/>
      <c r="FQ60" s="222"/>
      <c r="FR60" s="218"/>
      <c r="FS60" s="219"/>
      <c r="FT60" s="220"/>
      <c r="FU60" s="221"/>
      <c r="FV60" s="222"/>
      <c r="FW60" s="246"/>
      <c r="FX60" s="222"/>
      <c r="FY60" s="218"/>
      <c r="FZ60" s="219"/>
      <c r="GA60" s="220"/>
      <c r="GB60" s="221"/>
      <c r="GC60" s="222"/>
      <c r="GD60" s="246"/>
      <c r="GE60" s="222"/>
      <c r="GF60" s="218"/>
      <c r="GG60" s="219"/>
      <c r="GH60" s="220"/>
      <c r="GI60" s="221"/>
      <c r="GJ60" s="222"/>
      <c r="GK60" s="246"/>
      <c r="GL60" s="222"/>
      <c r="GM60" s="218"/>
      <c r="GN60" s="219"/>
      <c r="GO60" s="220"/>
      <c r="GP60" s="221"/>
      <c r="GQ60" s="222"/>
      <c r="GR60" s="246"/>
      <c r="GS60" s="222"/>
      <c r="GT60" s="218"/>
      <c r="GU60" s="219"/>
      <c r="GV60" s="220"/>
      <c r="GW60" s="221"/>
      <c r="GX60" s="222"/>
      <c r="GY60" s="246"/>
      <c r="GZ60" s="222"/>
      <c r="HA60" s="218"/>
      <c r="HB60" s="219"/>
      <c r="HC60" s="220"/>
      <c r="HD60" s="221"/>
      <c r="HE60" s="222"/>
      <c r="HF60" s="246"/>
      <c r="HG60" s="222"/>
      <c r="HH60" s="218"/>
      <c r="HI60" s="219"/>
      <c r="HJ60" s="220"/>
      <c r="HK60" s="221"/>
      <c r="HL60" s="222"/>
      <c r="HM60" s="246"/>
      <c r="HN60" s="222"/>
      <c r="HO60" s="218"/>
      <c r="HP60" s="219"/>
      <c r="HQ60" s="220"/>
      <c r="HR60" s="221"/>
      <c r="HS60" s="222"/>
      <c r="HT60" s="246"/>
      <c r="HU60" s="222"/>
      <c r="HV60" s="218"/>
      <c r="HW60" s="219"/>
      <c r="HX60" s="220"/>
      <c r="HY60" s="221"/>
      <c r="HZ60" s="222"/>
      <c r="IA60" s="246"/>
      <c r="IB60" s="222"/>
      <c r="IC60" s="218"/>
      <c r="ID60" s="219"/>
      <c r="IE60" s="220"/>
      <c r="IF60" s="221"/>
      <c r="IG60" s="222"/>
      <c r="IH60" s="246"/>
      <c r="II60" s="222"/>
      <c r="IJ60" s="218"/>
      <c r="IK60" s="219"/>
      <c r="IL60" s="220"/>
      <c r="IM60" s="221"/>
    </row>
    <row r="61" spans="1:7" ht="22.5">
      <c r="A61" s="223">
        <v>88489</v>
      </c>
      <c r="B61" s="224" t="s">
        <v>359</v>
      </c>
      <c r="C61" s="30" t="str">
        <f>VLOOKUP(A61,Insumos!$A:$D,2,0)</f>
        <v>Aplicação manual de pintura com tinta látex acrílica em paredes, duas demãos.</v>
      </c>
      <c r="D61" s="159" t="str">
        <f>VLOOKUP(A61,Insumos!$A:$D,3,0)</f>
        <v>m²</v>
      </c>
      <c r="E61" s="225">
        <v>25</v>
      </c>
      <c r="F61" s="313">
        <f>VLOOKUP(A61,Insumos!$A:$D,4,0)</f>
        <v>12.19</v>
      </c>
      <c r="G61" s="226">
        <f aca="true" t="shared" si="2" ref="G61:G67">ROUND(E61*F61,2)</f>
        <v>304.75</v>
      </c>
    </row>
    <row r="62" spans="1:160" ht="22.5">
      <c r="A62" s="223">
        <v>88488</v>
      </c>
      <c r="B62" s="224" t="s">
        <v>264</v>
      </c>
      <c r="C62" s="30" t="str">
        <f>VLOOKUP(A62,Insumos!$A:$D,2,0)</f>
        <v>Aplicação manual de pintura com tinta látex acrílica em teto, duas demãos. AF_06/2014</v>
      </c>
      <c r="D62" s="159" t="str">
        <f>VLOOKUP(A62,Insumos!$A:$D,3,0)</f>
        <v>m²</v>
      </c>
      <c r="E62" s="225">
        <v>185</v>
      </c>
      <c r="F62" s="313">
        <f>VLOOKUP(A62,Insumos!$A:$D,4,0)</f>
        <v>13.79</v>
      </c>
      <c r="G62" s="226">
        <f t="shared" si="2"/>
        <v>2551.15</v>
      </c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59"/>
      <c r="DS62" s="259"/>
      <c r="DT62" s="259"/>
      <c r="DU62" s="259"/>
      <c r="DV62" s="259"/>
      <c r="DW62" s="259"/>
      <c r="DX62" s="259"/>
      <c r="DY62" s="259"/>
      <c r="DZ62" s="259"/>
      <c r="EA62" s="259"/>
      <c r="EB62" s="259"/>
      <c r="EC62" s="259"/>
      <c r="ED62" s="259"/>
      <c r="EE62" s="259"/>
      <c r="EF62" s="259"/>
      <c r="EG62" s="259"/>
      <c r="EH62" s="259"/>
      <c r="EI62" s="259"/>
      <c r="EJ62" s="259"/>
      <c r="EK62" s="259"/>
      <c r="EL62" s="259"/>
      <c r="EM62" s="259"/>
      <c r="EN62" s="259"/>
      <c r="EO62" s="259"/>
      <c r="EP62" s="259"/>
      <c r="EQ62" s="259"/>
      <c r="ER62" s="259"/>
      <c r="ES62" s="259"/>
      <c r="ET62" s="259"/>
      <c r="EU62" s="259"/>
      <c r="EV62" s="259"/>
      <c r="EW62" s="259"/>
      <c r="EX62" s="259"/>
      <c r="EY62" s="259"/>
      <c r="EZ62" s="259"/>
      <c r="FA62" s="259"/>
      <c r="FB62" s="259"/>
      <c r="FC62" s="259"/>
      <c r="FD62" s="259"/>
    </row>
    <row r="63" spans="1:160" ht="22.5">
      <c r="A63" s="223">
        <v>88497</v>
      </c>
      <c r="B63" s="224" t="s">
        <v>155</v>
      </c>
      <c r="C63" s="30" t="str">
        <f>VLOOKUP(A63,Insumos!$A:$D,2,0)</f>
        <v>Aplicação e lixamento de massa látex em paredes, duas demãos. AF_06/2014</v>
      </c>
      <c r="D63" s="159" t="str">
        <f>VLOOKUP(A63,Insumos!$A:$D,3,0)</f>
        <v>m²</v>
      </c>
      <c r="E63" s="225">
        <v>25</v>
      </c>
      <c r="F63" s="313">
        <f>VLOOKUP(A63,Insumos!$A:$D,4,0)</f>
        <v>12.81</v>
      </c>
      <c r="G63" s="226">
        <f t="shared" si="2"/>
        <v>320.25</v>
      </c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  <c r="DP63" s="259"/>
      <c r="DQ63" s="259"/>
      <c r="DR63" s="259"/>
      <c r="DS63" s="259"/>
      <c r="DT63" s="259"/>
      <c r="DU63" s="259"/>
      <c r="DV63" s="259"/>
      <c r="DW63" s="259"/>
      <c r="DX63" s="259"/>
      <c r="DY63" s="259"/>
      <c r="DZ63" s="259"/>
      <c r="EA63" s="259"/>
      <c r="EB63" s="259"/>
      <c r="EC63" s="259"/>
      <c r="ED63" s="259"/>
      <c r="EE63" s="259"/>
      <c r="EF63" s="259"/>
      <c r="EG63" s="259"/>
      <c r="EH63" s="259"/>
      <c r="EI63" s="259"/>
      <c r="EJ63" s="259"/>
      <c r="EK63" s="259"/>
      <c r="EL63" s="259"/>
      <c r="EM63" s="259"/>
      <c r="EN63" s="259"/>
      <c r="EO63" s="259"/>
      <c r="EP63" s="259"/>
      <c r="EQ63" s="259"/>
      <c r="ER63" s="259"/>
      <c r="ES63" s="259"/>
      <c r="ET63" s="259"/>
      <c r="EU63" s="259"/>
      <c r="EV63" s="259"/>
      <c r="EW63" s="259"/>
      <c r="EX63" s="259"/>
      <c r="EY63" s="259"/>
      <c r="EZ63" s="259"/>
      <c r="FA63" s="259"/>
      <c r="FB63" s="259"/>
      <c r="FC63" s="259"/>
      <c r="FD63" s="259"/>
    </row>
    <row r="64" spans="1:160" ht="22.5">
      <c r="A64" s="223">
        <v>88496</v>
      </c>
      <c r="B64" s="224" t="s">
        <v>156</v>
      </c>
      <c r="C64" s="30" t="str">
        <f>VLOOKUP(A64,Insumos!$A:$D,2,0)</f>
        <v>Aplicação e lixamento de massa látex em teto, duas demãos. AF_06/2014</v>
      </c>
      <c r="D64" s="159" t="str">
        <f>VLOOKUP(A64,Insumos!$A:$D,3,0)</f>
        <v>m²</v>
      </c>
      <c r="E64" s="225">
        <v>185</v>
      </c>
      <c r="F64" s="313">
        <f>VLOOKUP(A64,Insumos!$A:$D,4,0)</f>
        <v>23.04</v>
      </c>
      <c r="G64" s="226">
        <f t="shared" si="2"/>
        <v>4262.4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  <c r="DN64" s="259"/>
      <c r="DO64" s="259"/>
      <c r="DP64" s="259"/>
      <c r="DQ64" s="259"/>
      <c r="DR64" s="259"/>
      <c r="DS64" s="259"/>
      <c r="DT64" s="259"/>
      <c r="DU64" s="259"/>
      <c r="DV64" s="259"/>
      <c r="DW64" s="259"/>
      <c r="DX64" s="259"/>
      <c r="DY64" s="259"/>
      <c r="DZ64" s="259"/>
      <c r="EA64" s="259"/>
      <c r="EB64" s="259"/>
      <c r="EC64" s="259"/>
      <c r="ED64" s="259"/>
      <c r="EE64" s="259"/>
      <c r="EF64" s="259"/>
      <c r="EG64" s="259"/>
      <c r="EH64" s="259"/>
      <c r="EI64" s="259"/>
      <c r="EJ64" s="259"/>
      <c r="EK64" s="259"/>
      <c r="EL64" s="259"/>
      <c r="EM64" s="259"/>
      <c r="EN64" s="259"/>
      <c r="EO64" s="259"/>
      <c r="EP64" s="259"/>
      <c r="EQ64" s="259"/>
      <c r="ER64" s="259"/>
      <c r="ES64" s="259"/>
      <c r="ET64" s="259"/>
      <c r="EU64" s="259"/>
      <c r="EV64" s="259"/>
      <c r="EW64" s="259"/>
      <c r="EX64" s="259"/>
      <c r="EY64" s="259"/>
      <c r="EZ64" s="259"/>
      <c r="FA64" s="259"/>
      <c r="FB64" s="259"/>
      <c r="FC64" s="259"/>
      <c r="FD64" s="259"/>
    </row>
    <row r="65" spans="1:7" ht="22.5">
      <c r="A65" s="223" t="s">
        <v>380</v>
      </c>
      <c r="B65" s="224" t="s">
        <v>155</v>
      </c>
      <c r="C65" s="30" t="str">
        <f>VLOOKUP(A65,Insumos!$A:$D,2,0)</f>
        <v>Pintura esmalte acetinado, duas demãos, sobre superficie metálica</v>
      </c>
      <c r="D65" s="159" t="str">
        <f>VLOOKUP(A65,Insumos!$A:$D,3,0)</f>
        <v>m²</v>
      </c>
      <c r="E65" s="225">
        <v>12</v>
      </c>
      <c r="F65" s="313">
        <f>VLOOKUP(A65,Insumos!$A:$D,4,0)</f>
        <v>25.6</v>
      </c>
      <c r="G65" s="226">
        <f t="shared" si="2"/>
        <v>307.2</v>
      </c>
    </row>
    <row r="66" spans="1:7" ht="22.5">
      <c r="A66" s="223">
        <v>84660</v>
      </c>
      <c r="B66" s="224" t="s">
        <v>156</v>
      </c>
      <c r="C66" s="30" t="str">
        <f>VLOOKUP(A66,Insumos!$A:$D,2,0)</f>
        <v>Fundo preparador primer sintético, para estrutura metálica, uma demão, espessura de 25 micra</v>
      </c>
      <c r="D66" s="159" t="str">
        <f>VLOOKUP(A66,Insumos!$A:$D,3,0)</f>
        <v>m²</v>
      </c>
      <c r="E66" s="225">
        <v>12</v>
      </c>
      <c r="F66" s="313">
        <f>VLOOKUP(A66,Insumos!$A:$D,4,0)</f>
        <v>6.14</v>
      </c>
      <c r="G66" s="226">
        <f t="shared" si="2"/>
        <v>73.68</v>
      </c>
    </row>
    <row r="67" spans="1:7" ht="22.5">
      <c r="A67" s="223" t="str">
        <f>"CCU "&amp;B67</f>
        <v>CCU 04.01.567</v>
      </c>
      <c r="B67" s="224" t="s">
        <v>89</v>
      </c>
      <c r="C67" s="30" t="s">
        <v>620</v>
      </c>
      <c r="D67" s="159" t="s">
        <v>249</v>
      </c>
      <c r="E67" s="225">
        <v>393</v>
      </c>
      <c r="F67" s="313">
        <f>VLOOKUP(A67,'CCU''s'!$A:$G,7,0)</f>
        <v>8.02</v>
      </c>
      <c r="G67" s="226">
        <f t="shared" si="2"/>
        <v>3151.86</v>
      </c>
    </row>
    <row r="68" spans="1:247" ht="12.75">
      <c r="A68" s="213"/>
      <c r="B68" s="214" t="s">
        <v>374</v>
      </c>
      <c r="C68" s="215" t="s">
        <v>375</v>
      </c>
      <c r="D68" s="216"/>
      <c r="E68" s="217"/>
      <c r="F68" s="245"/>
      <c r="G68" s="217">
        <f>SUM(G69:G73)</f>
        <v>19580.48</v>
      </c>
      <c r="H68" s="220"/>
      <c r="I68" s="221"/>
      <c r="J68" s="222"/>
      <c r="K68" s="246"/>
      <c r="L68" s="222"/>
      <c r="M68" s="218"/>
      <c r="N68" s="219"/>
      <c r="O68" s="220"/>
      <c r="P68" s="221"/>
      <c r="Q68" s="222"/>
      <c r="R68" s="246"/>
      <c r="S68" s="222"/>
      <c r="T68" s="218"/>
      <c r="U68" s="219"/>
      <c r="V68" s="220"/>
      <c r="W68" s="221"/>
      <c r="X68" s="222"/>
      <c r="Y68" s="246"/>
      <c r="Z68" s="222"/>
      <c r="AA68" s="218"/>
      <c r="AB68" s="219"/>
      <c r="AC68" s="220"/>
      <c r="AD68" s="221"/>
      <c r="AE68" s="222"/>
      <c r="AF68" s="246"/>
      <c r="AG68" s="222"/>
      <c r="AH68" s="218"/>
      <c r="AI68" s="219"/>
      <c r="AJ68" s="220"/>
      <c r="AK68" s="221"/>
      <c r="AL68" s="222"/>
      <c r="AM68" s="246"/>
      <c r="AN68" s="222"/>
      <c r="AO68" s="218"/>
      <c r="AP68" s="219"/>
      <c r="AQ68" s="220"/>
      <c r="AR68" s="221"/>
      <c r="AS68" s="222"/>
      <c r="AT68" s="246"/>
      <c r="AU68" s="222"/>
      <c r="AV68" s="218"/>
      <c r="AW68" s="219"/>
      <c r="AX68" s="220"/>
      <c r="AY68" s="221"/>
      <c r="AZ68" s="222"/>
      <c r="BA68" s="246"/>
      <c r="BB68" s="222"/>
      <c r="BC68" s="218"/>
      <c r="BD68" s="219"/>
      <c r="BE68" s="220"/>
      <c r="BF68" s="221"/>
      <c r="BG68" s="222"/>
      <c r="BH68" s="246"/>
      <c r="BI68" s="222"/>
      <c r="BJ68" s="218"/>
      <c r="BK68" s="219"/>
      <c r="BL68" s="220"/>
      <c r="BM68" s="221"/>
      <c r="BN68" s="222"/>
      <c r="BO68" s="246"/>
      <c r="BP68" s="222"/>
      <c r="BQ68" s="218"/>
      <c r="BR68" s="219"/>
      <c r="BS68" s="220"/>
      <c r="BT68" s="221"/>
      <c r="BU68" s="222"/>
      <c r="BV68" s="246"/>
      <c r="BW68" s="222"/>
      <c r="BX68" s="218"/>
      <c r="BY68" s="219"/>
      <c r="BZ68" s="220"/>
      <c r="CA68" s="221"/>
      <c r="CB68" s="222"/>
      <c r="CC68" s="246"/>
      <c r="CD68" s="222"/>
      <c r="CE68" s="218"/>
      <c r="CF68" s="219"/>
      <c r="CG68" s="220"/>
      <c r="CH68" s="221"/>
      <c r="CI68" s="222"/>
      <c r="CJ68" s="246"/>
      <c r="CK68" s="222"/>
      <c r="CL68" s="218"/>
      <c r="CM68" s="219"/>
      <c r="CN68" s="220"/>
      <c r="CO68" s="221"/>
      <c r="CP68" s="222"/>
      <c r="CQ68" s="246"/>
      <c r="CR68" s="222"/>
      <c r="CS68" s="218"/>
      <c r="CT68" s="219"/>
      <c r="CU68" s="220"/>
      <c r="CV68" s="221"/>
      <c r="CW68" s="222"/>
      <c r="CX68" s="246"/>
      <c r="CY68" s="222"/>
      <c r="CZ68" s="218"/>
      <c r="DA68" s="219"/>
      <c r="DB68" s="220"/>
      <c r="DC68" s="221"/>
      <c r="DD68" s="222"/>
      <c r="DE68" s="246"/>
      <c r="DF68" s="222"/>
      <c r="DG68" s="218"/>
      <c r="DH68" s="219"/>
      <c r="DI68" s="220"/>
      <c r="DJ68" s="221"/>
      <c r="DK68" s="222"/>
      <c r="DL68" s="246"/>
      <c r="DM68" s="222"/>
      <c r="DN68" s="218"/>
      <c r="DO68" s="219"/>
      <c r="DP68" s="220"/>
      <c r="DQ68" s="221"/>
      <c r="DR68" s="222"/>
      <c r="DS68" s="246"/>
      <c r="DT68" s="222"/>
      <c r="DU68" s="218"/>
      <c r="DV68" s="219"/>
      <c r="DW68" s="220"/>
      <c r="DX68" s="221"/>
      <c r="DY68" s="222"/>
      <c r="DZ68" s="246"/>
      <c r="EA68" s="222"/>
      <c r="EB68" s="218"/>
      <c r="EC68" s="219"/>
      <c r="ED68" s="220"/>
      <c r="EE68" s="221"/>
      <c r="EF68" s="222"/>
      <c r="EG68" s="246"/>
      <c r="EH68" s="222"/>
      <c r="EI68" s="218"/>
      <c r="EJ68" s="219"/>
      <c r="EK68" s="220"/>
      <c r="EL68" s="221"/>
      <c r="EM68" s="222"/>
      <c r="EN68" s="246"/>
      <c r="EO68" s="222"/>
      <c r="EP68" s="218"/>
      <c r="EQ68" s="219"/>
      <c r="ER68" s="220"/>
      <c r="ES68" s="221"/>
      <c r="ET68" s="222"/>
      <c r="EU68" s="246"/>
      <c r="EV68" s="222"/>
      <c r="EW68" s="218"/>
      <c r="EX68" s="219"/>
      <c r="EY68" s="220"/>
      <c r="EZ68" s="221"/>
      <c r="FA68" s="222"/>
      <c r="FB68" s="246"/>
      <c r="FC68" s="222"/>
      <c r="FD68" s="218"/>
      <c r="FE68" s="219"/>
      <c r="FF68" s="220"/>
      <c r="FG68" s="221"/>
      <c r="FH68" s="222"/>
      <c r="FI68" s="246"/>
      <c r="FJ68" s="222"/>
      <c r="FK68" s="218"/>
      <c r="FL68" s="219"/>
      <c r="FM68" s="220"/>
      <c r="FN68" s="221"/>
      <c r="FO68" s="222"/>
      <c r="FP68" s="246"/>
      <c r="FQ68" s="222"/>
      <c r="FR68" s="218"/>
      <c r="FS68" s="219"/>
      <c r="FT68" s="220"/>
      <c r="FU68" s="221"/>
      <c r="FV68" s="222"/>
      <c r="FW68" s="246"/>
      <c r="FX68" s="222"/>
      <c r="FY68" s="218"/>
      <c r="FZ68" s="219"/>
      <c r="GA68" s="220"/>
      <c r="GB68" s="221"/>
      <c r="GC68" s="222"/>
      <c r="GD68" s="246"/>
      <c r="GE68" s="222"/>
      <c r="GF68" s="218"/>
      <c r="GG68" s="219"/>
      <c r="GH68" s="220"/>
      <c r="GI68" s="221"/>
      <c r="GJ68" s="222"/>
      <c r="GK68" s="246"/>
      <c r="GL68" s="222"/>
      <c r="GM68" s="218"/>
      <c r="GN68" s="219"/>
      <c r="GO68" s="220"/>
      <c r="GP68" s="221"/>
      <c r="GQ68" s="222"/>
      <c r="GR68" s="246"/>
      <c r="GS68" s="222"/>
      <c r="GT68" s="218"/>
      <c r="GU68" s="219"/>
      <c r="GV68" s="220"/>
      <c r="GW68" s="221"/>
      <c r="GX68" s="222"/>
      <c r="GY68" s="246"/>
      <c r="GZ68" s="222"/>
      <c r="HA68" s="218"/>
      <c r="HB68" s="219"/>
      <c r="HC68" s="220"/>
      <c r="HD68" s="221"/>
      <c r="HE68" s="222"/>
      <c r="HF68" s="246"/>
      <c r="HG68" s="222"/>
      <c r="HH68" s="218"/>
      <c r="HI68" s="219"/>
      <c r="HJ68" s="220"/>
      <c r="HK68" s="221"/>
      <c r="HL68" s="222"/>
      <c r="HM68" s="246"/>
      <c r="HN68" s="222"/>
      <c r="HO68" s="218"/>
      <c r="HP68" s="219"/>
      <c r="HQ68" s="220"/>
      <c r="HR68" s="221"/>
      <c r="HS68" s="222"/>
      <c r="HT68" s="246"/>
      <c r="HU68" s="222"/>
      <c r="HV68" s="218"/>
      <c r="HW68" s="219"/>
      <c r="HX68" s="220"/>
      <c r="HY68" s="221"/>
      <c r="HZ68" s="222"/>
      <c r="IA68" s="246"/>
      <c r="IB68" s="222"/>
      <c r="IC68" s="218"/>
      <c r="ID68" s="219"/>
      <c r="IE68" s="220"/>
      <c r="IF68" s="221"/>
      <c r="IG68" s="222"/>
      <c r="IH68" s="246"/>
      <c r="II68" s="222"/>
      <c r="IJ68" s="218"/>
      <c r="IK68" s="219"/>
      <c r="IL68" s="220"/>
      <c r="IM68" s="221"/>
    </row>
    <row r="69" spans="1:7" ht="12.75">
      <c r="A69" s="223">
        <v>99814</v>
      </c>
      <c r="B69" s="224" t="s">
        <v>376</v>
      </c>
      <c r="C69" s="30" t="str">
        <f>VLOOKUP(A69,Insumos!$A:$D,2,0)</f>
        <v>Limpeza de superfície com jato de alta pressão</v>
      </c>
      <c r="D69" s="159" t="str">
        <f>VLOOKUP(A69,Insumos!$A:$D,3,0)</f>
        <v>m²</v>
      </c>
      <c r="E69" s="225">
        <v>173</v>
      </c>
      <c r="F69" s="313">
        <f>VLOOKUP(A69,Insumos!$A:$D,4,0)</f>
        <v>1.41</v>
      </c>
      <c r="G69" s="226">
        <f>ROUND(E69*F69,2)</f>
        <v>243.93</v>
      </c>
    </row>
    <row r="70" spans="1:7" ht="12.75">
      <c r="A70" s="223">
        <v>40780</v>
      </c>
      <c r="B70" s="224" t="s">
        <v>377</v>
      </c>
      <c r="C70" s="30" t="str">
        <f>VLOOKUP(A70,Insumos!$A:$D,2,0)</f>
        <v>Regularização de superfície de concreto aparente</v>
      </c>
      <c r="D70" s="159" t="str">
        <f>VLOOKUP(A70,Insumos!$A:$D,3,0)</f>
        <v>m²</v>
      </c>
      <c r="E70" s="225">
        <v>173</v>
      </c>
      <c r="F70" s="313">
        <f>VLOOKUP(A70,Insumos!$A:$D,4,0)</f>
        <v>9.88</v>
      </c>
      <c r="G70" s="226">
        <f>ROUND(E70*F70,2)</f>
        <v>1709.24</v>
      </c>
    </row>
    <row r="71" spans="1:7" ht="22.5">
      <c r="A71" s="223" t="str">
        <f>"CCU "&amp;B71</f>
        <v>CCU 04.01.603</v>
      </c>
      <c r="B71" s="224" t="s">
        <v>378</v>
      </c>
      <c r="C71" s="30" t="s">
        <v>177</v>
      </c>
      <c r="D71" s="159" t="s">
        <v>248</v>
      </c>
      <c r="E71" s="225">
        <v>36</v>
      </c>
      <c r="F71" s="313">
        <f>VLOOKUP(A71,'CCU''s'!$A:$G,7,0)</f>
        <v>81.13</v>
      </c>
      <c r="G71" s="226">
        <f>ROUND(E71*F71,2)</f>
        <v>2920.68</v>
      </c>
    </row>
    <row r="72" spans="1:160" ht="56.25">
      <c r="A72" s="223" t="str">
        <f>"CCU "&amp;B72</f>
        <v>CCU 04.01.604</v>
      </c>
      <c r="B72" s="224" t="s">
        <v>379</v>
      </c>
      <c r="C72" s="30" t="s">
        <v>22</v>
      </c>
      <c r="D72" s="159" t="s">
        <v>248</v>
      </c>
      <c r="E72" s="225">
        <v>36</v>
      </c>
      <c r="F72" s="313">
        <f>VLOOKUP(A72,'CCU''s'!$A:$G,7,0)</f>
        <v>59.49</v>
      </c>
      <c r="G72" s="226">
        <f>ROUND(E72*F72,2)</f>
        <v>2141.64</v>
      </c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59"/>
      <c r="DB72" s="259"/>
      <c r="DC72" s="259"/>
      <c r="DD72" s="259"/>
      <c r="DE72" s="259"/>
      <c r="DF72" s="259"/>
      <c r="DG72" s="259"/>
      <c r="DH72" s="259"/>
      <c r="DI72" s="259"/>
      <c r="DJ72" s="259"/>
      <c r="DK72" s="259"/>
      <c r="DL72" s="259"/>
      <c r="DM72" s="259"/>
      <c r="DN72" s="259"/>
      <c r="DO72" s="259"/>
      <c r="DP72" s="259"/>
      <c r="DQ72" s="259"/>
      <c r="DR72" s="259"/>
      <c r="DS72" s="259"/>
      <c r="DT72" s="259"/>
      <c r="DU72" s="259"/>
      <c r="DV72" s="259"/>
      <c r="DW72" s="259"/>
      <c r="DX72" s="259"/>
      <c r="DY72" s="259"/>
      <c r="DZ72" s="259"/>
      <c r="EA72" s="259"/>
      <c r="EB72" s="259"/>
      <c r="EC72" s="259"/>
      <c r="ED72" s="259"/>
      <c r="EE72" s="259"/>
      <c r="EF72" s="259"/>
      <c r="EG72" s="259"/>
      <c r="EH72" s="259"/>
      <c r="EI72" s="259"/>
      <c r="EJ72" s="259"/>
      <c r="EK72" s="259"/>
      <c r="EL72" s="259"/>
      <c r="EM72" s="259"/>
      <c r="EN72" s="259"/>
      <c r="EO72" s="259"/>
      <c r="EP72" s="259"/>
      <c r="EQ72" s="259"/>
      <c r="ER72" s="259"/>
      <c r="ES72" s="259"/>
      <c r="ET72" s="259"/>
      <c r="EU72" s="259"/>
      <c r="EV72" s="259"/>
      <c r="EW72" s="259"/>
      <c r="EX72" s="259"/>
      <c r="EY72" s="259"/>
      <c r="EZ72" s="259"/>
      <c r="FA72" s="259"/>
      <c r="FB72" s="259"/>
      <c r="FC72" s="259"/>
      <c r="FD72" s="259"/>
    </row>
    <row r="73" spans="1:160" ht="45">
      <c r="A73" s="223" t="str">
        <f>"CCU "&amp;B73</f>
        <v>CCU 04.01.606</v>
      </c>
      <c r="B73" s="224" t="s">
        <v>423</v>
      </c>
      <c r="C73" s="30" t="s">
        <v>581</v>
      </c>
      <c r="D73" s="159" t="s">
        <v>248</v>
      </c>
      <c r="E73" s="225">
        <v>173</v>
      </c>
      <c r="F73" s="313">
        <f>VLOOKUP(A73,'CCU''s'!$A:$G,7,0)</f>
        <v>72.63</v>
      </c>
      <c r="G73" s="226">
        <f>ROUND(E73*F73,2)</f>
        <v>12564.99</v>
      </c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59"/>
      <c r="DG73" s="259"/>
      <c r="DH73" s="259"/>
      <c r="DI73" s="259"/>
      <c r="DJ73" s="259"/>
      <c r="DK73" s="259"/>
      <c r="DL73" s="259"/>
      <c r="DM73" s="259"/>
      <c r="DN73" s="259"/>
      <c r="DO73" s="259"/>
      <c r="DP73" s="259"/>
      <c r="DQ73" s="259"/>
      <c r="DR73" s="259"/>
      <c r="DS73" s="259"/>
      <c r="DT73" s="259"/>
      <c r="DU73" s="259"/>
      <c r="DV73" s="259"/>
      <c r="DW73" s="259"/>
      <c r="DX73" s="259"/>
      <c r="DY73" s="259"/>
      <c r="DZ73" s="259"/>
      <c r="EA73" s="259"/>
      <c r="EB73" s="259"/>
      <c r="EC73" s="259"/>
      <c r="ED73" s="259"/>
      <c r="EE73" s="259"/>
      <c r="EF73" s="259"/>
      <c r="EG73" s="259"/>
      <c r="EH73" s="259"/>
      <c r="EI73" s="259"/>
      <c r="EJ73" s="259"/>
      <c r="EK73" s="259"/>
      <c r="EL73" s="259"/>
      <c r="EM73" s="259"/>
      <c r="EN73" s="259"/>
      <c r="EO73" s="259"/>
      <c r="EP73" s="259"/>
      <c r="EQ73" s="259"/>
      <c r="ER73" s="259"/>
      <c r="ES73" s="259"/>
      <c r="ET73" s="259"/>
      <c r="EU73" s="259"/>
      <c r="EV73" s="259"/>
      <c r="EW73" s="259"/>
      <c r="EX73" s="259"/>
      <c r="EY73" s="259"/>
      <c r="EZ73" s="259"/>
      <c r="FA73" s="259"/>
      <c r="FB73" s="259"/>
      <c r="FC73" s="259"/>
      <c r="FD73" s="259"/>
    </row>
    <row r="74" spans="1:160" s="49" customFormat="1" ht="12.75">
      <c r="A74" s="203"/>
      <c r="B74" s="204" t="s">
        <v>273</v>
      </c>
      <c r="C74" s="205" t="s">
        <v>275</v>
      </c>
      <c r="D74" s="206"/>
      <c r="E74" s="207"/>
      <c r="F74" s="57"/>
      <c r="G74" s="207">
        <f>SUM(G75:G154)/2</f>
        <v>76801.16000000002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</row>
    <row r="75" spans="1:160" s="49" customFormat="1" ht="12.75">
      <c r="A75" s="218"/>
      <c r="B75" s="219" t="s">
        <v>179</v>
      </c>
      <c r="C75" s="220" t="s">
        <v>180</v>
      </c>
      <c r="D75" s="221"/>
      <c r="E75" s="222"/>
      <c r="F75" s="246"/>
      <c r="G75" s="222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</row>
    <row r="76" spans="1:247" ht="12.75">
      <c r="A76" s="213"/>
      <c r="B76" s="214" t="s">
        <v>181</v>
      </c>
      <c r="C76" s="215" t="s">
        <v>369</v>
      </c>
      <c r="D76" s="216"/>
      <c r="E76" s="217"/>
      <c r="F76" s="245"/>
      <c r="G76" s="217">
        <f>SUM(G77:G104)</f>
        <v>21902.819999999992</v>
      </c>
      <c r="H76" s="220"/>
      <c r="I76" s="221"/>
      <c r="J76" s="222"/>
      <c r="K76" s="246"/>
      <c r="L76" s="222"/>
      <c r="M76" s="218"/>
      <c r="N76" s="219"/>
      <c r="O76" s="220"/>
      <c r="P76" s="221"/>
      <c r="Q76" s="222"/>
      <c r="R76" s="246"/>
      <c r="S76" s="222"/>
      <c r="T76" s="218"/>
      <c r="U76" s="219"/>
      <c r="V76" s="220"/>
      <c r="W76" s="221"/>
      <c r="X76" s="222"/>
      <c r="Y76" s="246"/>
      <c r="Z76" s="222"/>
      <c r="AA76" s="218"/>
      <c r="AB76" s="219"/>
      <c r="AC76" s="220"/>
      <c r="AD76" s="221"/>
      <c r="AE76" s="222"/>
      <c r="AF76" s="246"/>
      <c r="AG76" s="222"/>
      <c r="AH76" s="218"/>
      <c r="AI76" s="219"/>
      <c r="AJ76" s="220"/>
      <c r="AK76" s="221"/>
      <c r="AL76" s="222"/>
      <c r="AM76" s="246"/>
      <c r="AN76" s="222"/>
      <c r="AO76" s="218"/>
      <c r="AP76" s="219"/>
      <c r="AQ76" s="220"/>
      <c r="AR76" s="221"/>
      <c r="AS76" s="222"/>
      <c r="AT76" s="246"/>
      <c r="AU76" s="222"/>
      <c r="AV76" s="218"/>
      <c r="AW76" s="219"/>
      <c r="AX76" s="220"/>
      <c r="AY76" s="221"/>
      <c r="AZ76" s="222"/>
      <c r="BA76" s="246"/>
      <c r="BB76" s="222"/>
      <c r="BC76" s="218"/>
      <c r="BD76" s="219"/>
      <c r="BE76" s="220"/>
      <c r="BF76" s="221"/>
      <c r="BG76" s="222"/>
      <c r="BH76" s="246"/>
      <c r="BI76" s="222"/>
      <c r="BJ76" s="218"/>
      <c r="BK76" s="219"/>
      <c r="BL76" s="220"/>
      <c r="BM76" s="221"/>
      <c r="BN76" s="222"/>
      <c r="BO76" s="246"/>
      <c r="BP76" s="222"/>
      <c r="BQ76" s="218"/>
      <c r="BR76" s="219"/>
      <c r="BS76" s="220"/>
      <c r="BT76" s="221"/>
      <c r="BU76" s="222"/>
      <c r="BV76" s="246"/>
      <c r="BW76" s="222"/>
      <c r="BX76" s="218"/>
      <c r="BY76" s="219"/>
      <c r="BZ76" s="220"/>
      <c r="CA76" s="221"/>
      <c r="CB76" s="222"/>
      <c r="CC76" s="246"/>
      <c r="CD76" s="222"/>
      <c r="CE76" s="218"/>
      <c r="CF76" s="219"/>
      <c r="CG76" s="220"/>
      <c r="CH76" s="221"/>
      <c r="CI76" s="222"/>
      <c r="CJ76" s="246"/>
      <c r="CK76" s="222"/>
      <c r="CL76" s="218"/>
      <c r="CM76" s="219"/>
      <c r="CN76" s="220"/>
      <c r="CO76" s="221"/>
      <c r="CP76" s="222"/>
      <c r="CQ76" s="246"/>
      <c r="CR76" s="222"/>
      <c r="CS76" s="218"/>
      <c r="CT76" s="219"/>
      <c r="CU76" s="220"/>
      <c r="CV76" s="221"/>
      <c r="CW76" s="222"/>
      <c r="CX76" s="246"/>
      <c r="CY76" s="222"/>
      <c r="CZ76" s="218"/>
      <c r="DA76" s="219"/>
      <c r="DB76" s="220"/>
      <c r="DC76" s="221"/>
      <c r="DD76" s="222"/>
      <c r="DE76" s="246"/>
      <c r="DF76" s="222"/>
      <c r="DG76" s="218"/>
      <c r="DH76" s="219"/>
      <c r="DI76" s="220"/>
      <c r="DJ76" s="221"/>
      <c r="DK76" s="222"/>
      <c r="DL76" s="246"/>
      <c r="DM76" s="222"/>
      <c r="DN76" s="218"/>
      <c r="DO76" s="219"/>
      <c r="DP76" s="220"/>
      <c r="DQ76" s="221"/>
      <c r="DR76" s="222"/>
      <c r="DS76" s="246"/>
      <c r="DT76" s="222"/>
      <c r="DU76" s="218"/>
      <c r="DV76" s="219"/>
      <c r="DW76" s="220"/>
      <c r="DX76" s="221"/>
      <c r="DY76" s="222"/>
      <c r="DZ76" s="246"/>
      <c r="EA76" s="222"/>
      <c r="EB76" s="218"/>
      <c r="EC76" s="219"/>
      <c r="ED76" s="220"/>
      <c r="EE76" s="221"/>
      <c r="EF76" s="222"/>
      <c r="EG76" s="246"/>
      <c r="EH76" s="222"/>
      <c r="EI76" s="218"/>
      <c r="EJ76" s="219"/>
      <c r="EK76" s="220"/>
      <c r="EL76" s="221"/>
      <c r="EM76" s="222"/>
      <c r="EN76" s="246"/>
      <c r="EO76" s="222"/>
      <c r="EP76" s="218"/>
      <c r="EQ76" s="219"/>
      <c r="ER76" s="220"/>
      <c r="ES76" s="221"/>
      <c r="ET76" s="222"/>
      <c r="EU76" s="246"/>
      <c r="EV76" s="222"/>
      <c r="EW76" s="218"/>
      <c r="EX76" s="219"/>
      <c r="EY76" s="220"/>
      <c r="EZ76" s="221"/>
      <c r="FA76" s="222"/>
      <c r="FB76" s="246"/>
      <c r="FC76" s="222"/>
      <c r="FD76" s="218"/>
      <c r="FE76" s="219"/>
      <c r="FF76" s="220"/>
      <c r="FG76" s="221"/>
      <c r="FH76" s="222"/>
      <c r="FI76" s="246"/>
      <c r="FJ76" s="222"/>
      <c r="FK76" s="218"/>
      <c r="FL76" s="219"/>
      <c r="FM76" s="220"/>
      <c r="FN76" s="221"/>
      <c r="FO76" s="222"/>
      <c r="FP76" s="246"/>
      <c r="FQ76" s="222"/>
      <c r="FR76" s="218"/>
      <c r="FS76" s="219"/>
      <c r="FT76" s="220"/>
      <c r="FU76" s="221"/>
      <c r="FV76" s="222"/>
      <c r="FW76" s="246"/>
      <c r="FX76" s="222"/>
      <c r="FY76" s="218"/>
      <c r="FZ76" s="219"/>
      <c r="GA76" s="220"/>
      <c r="GB76" s="221"/>
      <c r="GC76" s="222"/>
      <c r="GD76" s="246"/>
      <c r="GE76" s="222"/>
      <c r="GF76" s="218"/>
      <c r="GG76" s="219"/>
      <c r="GH76" s="220"/>
      <c r="GI76" s="221"/>
      <c r="GJ76" s="222"/>
      <c r="GK76" s="246"/>
      <c r="GL76" s="222"/>
      <c r="GM76" s="218"/>
      <c r="GN76" s="219"/>
      <c r="GO76" s="220"/>
      <c r="GP76" s="221"/>
      <c r="GQ76" s="222"/>
      <c r="GR76" s="246"/>
      <c r="GS76" s="222"/>
      <c r="GT76" s="218"/>
      <c r="GU76" s="219"/>
      <c r="GV76" s="220"/>
      <c r="GW76" s="221"/>
      <c r="GX76" s="222"/>
      <c r="GY76" s="246"/>
      <c r="GZ76" s="222"/>
      <c r="HA76" s="218"/>
      <c r="HB76" s="219"/>
      <c r="HC76" s="220"/>
      <c r="HD76" s="221"/>
      <c r="HE76" s="222"/>
      <c r="HF76" s="246"/>
      <c r="HG76" s="222"/>
      <c r="HH76" s="218"/>
      <c r="HI76" s="219"/>
      <c r="HJ76" s="220"/>
      <c r="HK76" s="221"/>
      <c r="HL76" s="222"/>
      <c r="HM76" s="246"/>
      <c r="HN76" s="222"/>
      <c r="HO76" s="218"/>
      <c r="HP76" s="219"/>
      <c r="HQ76" s="220"/>
      <c r="HR76" s="221"/>
      <c r="HS76" s="222"/>
      <c r="HT76" s="246"/>
      <c r="HU76" s="222"/>
      <c r="HV76" s="218"/>
      <c r="HW76" s="219"/>
      <c r="HX76" s="220"/>
      <c r="HY76" s="221"/>
      <c r="HZ76" s="222"/>
      <c r="IA76" s="246"/>
      <c r="IB76" s="222"/>
      <c r="IC76" s="218"/>
      <c r="ID76" s="219"/>
      <c r="IE76" s="220"/>
      <c r="IF76" s="221"/>
      <c r="IG76" s="222"/>
      <c r="IH76" s="246"/>
      <c r="II76" s="222"/>
      <c r="IJ76" s="218"/>
      <c r="IK76" s="219"/>
      <c r="IL76" s="220"/>
      <c r="IM76" s="221"/>
    </row>
    <row r="77" spans="1:247" s="58" customFormat="1" ht="45">
      <c r="A77" s="223">
        <v>90696</v>
      </c>
      <c r="B77" s="224" t="s">
        <v>417</v>
      </c>
      <c r="C77" s="30" t="str">
        <f>VLOOKUP(A77,Insumos!$A:$D,2,0)</f>
        <v>Tubo de PVC para rede coletora de esgoto de parede maciça, DN 200mm, junta elástica, instalado em local com nível baixo de interferências - fornecimento e assentamento. AF_06/2015</v>
      </c>
      <c r="D77" s="159" t="str">
        <f>VLOOKUP(A77,Insumos!$A:$D,3,0)</f>
        <v>m</v>
      </c>
      <c r="E77" s="225">
        <v>4</v>
      </c>
      <c r="F77" s="313">
        <f>VLOOKUP(A77,Insumos!$A:$D,4,0)</f>
        <v>72.14</v>
      </c>
      <c r="G77" s="226">
        <f>ROUND(E77*F77,2)</f>
        <v>288.56</v>
      </c>
      <c r="H77" s="310"/>
      <c r="I77" s="311"/>
      <c r="J77" s="270"/>
      <c r="K77" s="312"/>
      <c r="L77" s="270"/>
      <c r="M77" s="308"/>
      <c r="N77" s="309"/>
      <c r="O77" s="310"/>
      <c r="P77" s="311"/>
      <c r="Q77" s="270"/>
      <c r="R77" s="312"/>
      <c r="S77" s="270"/>
      <c r="T77" s="308"/>
      <c r="U77" s="309"/>
      <c r="V77" s="310"/>
      <c r="W77" s="311"/>
      <c r="X77" s="270"/>
      <c r="Y77" s="312"/>
      <c r="Z77" s="270"/>
      <c r="AA77" s="308"/>
      <c r="AB77" s="309"/>
      <c r="AC77" s="310"/>
      <c r="AD77" s="311"/>
      <c r="AE77" s="270"/>
      <c r="AF77" s="312"/>
      <c r="AG77" s="270"/>
      <c r="AH77" s="308"/>
      <c r="AI77" s="309"/>
      <c r="AJ77" s="310"/>
      <c r="AK77" s="311"/>
      <c r="AL77" s="270"/>
      <c r="AM77" s="312"/>
      <c r="AN77" s="270"/>
      <c r="AO77" s="308"/>
      <c r="AP77" s="309"/>
      <c r="AQ77" s="310"/>
      <c r="AR77" s="311"/>
      <c r="AS77" s="270"/>
      <c r="AT77" s="312"/>
      <c r="AU77" s="270"/>
      <c r="AV77" s="308"/>
      <c r="AW77" s="309"/>
      <c r="AX77" s="310"/>
      <c r="AY77" s="311"/>
      <c r="AZ77" s="270"/>
      <c r="BA77" s="312"/>
      <c r="BB77" s="270"/>
      <c r="BC77" s="308"/>
      <c r="BD77" s="309"/>
      <c r="BE77" s="310"/>
      <c r="BF77" s="311"/>
      <c r="BG77" s="270"/>
      <c r="BH77" s="312"/>
      <c r="BI77" s="270"/>
      <c r="BJ77" s="308"/>
      <c r="BK77" s="309"/>
      <c r="BL77" s="310"/>
      <c r="BM77" s="311"/>
      <c r="BN77" s="270"/>
      <c r="BO77" s="312"/>
      <c r="BP77" s="270"/>
      <c r="BQ77" s="308"/>
      <c r="BR77" s="309"/>
      <c r="BS77" s="310"/>
      <c r="BT77" s="311"/>
      <c r="BU77" s="270"/>
      <c r="BV77" s="312"/>
      <c r="BW77" s="270"/>
      <c r="BX77" s="308"/>
      <c r="BY77" s="309"/>
      <c r="BZ77" s="310"/>
      <c r="CA77" s="311"/>
      <c r="CB77" s="270"/>
      <c r="CC77" s="312"/>
      <c r="CD77" s="270"/>
      <c r="CE77" s="308"/>
      <c r="CF77" s="309"/>
      <c r="CG77" s="310"/>
      <c r="CH77" s="311"/>
      <c r="CI77" s="270"/>
      <c r="CJ77" s="312"/>
      <c r="CK77" s="270"/>
      <c r="CL77" s="308"/>
      <c r="CM77" s="309"/>
      <c r="CN77" s="310"/>
      <c r="CO77" s="311"/>
      <c r="CP77" s="270"/>
      <c r="CQ77" s="312"/>
      <c r="CR77" s="270"/>
      <c r="CS77" s="308"/>
      <c r="CT77" s="309"/>
      <c r="CU77" s="310"/>
      <c r="CV77" s="311"/>
      <c r="CW77" s="270"/>
      <c r="CX77" s="312"/>
      <c r="CY77" s="270"/>
      <c r="CZ77" s="308"/>
      <c r="DA77" s="309"/>
      <c r="DB77" s="310"/>
      <c r="DC77" s="311"/>
      <c r="DD77" s="270"/>
      <c r="DE77" s="312"/>
      <c r="DF77" s="270"/>
      <c r="DG77" s="308"/>
      <c r="DH77" s="309"/>
      <c r="DI77" s="310"/>
      <c r="DJ77" s="311"/>
      <c r="DK77" s="270"/>
      <c r="DL77" s="312"/>
      <c r="DM77" s="270"/>
      <c r="DN77" s="308"/>
      <c r="DO77" s="309"/>
      <c r="DP77" s="310"/>
      <c r="DQ77" s="311"/>
      <c r="DR77" s="270"/>
      <c r="DS77" s="312"/>
      <c r="DT77" s="270"/>
      <c r="DU77" s="308"/>
      <c r="DV77" s="309"/>
      <c r="DW77" s="310"/>
      <c r="DX77" s="311"/>
      <c r="DY77" s="270"/>
      <c r="DZ77" s="312"/>
      <c r="EA77" s="270"/>
      <c r="EB77" s="308"/>
      <c r="EC77" s="309"/>
      <c r="ED77" s="310"/>
      <c r="EE77" s="311"/>
      <c r="EF77" s="270"/>
      <c r="EG77" s="312"/>
      <c r="EH77" s="270"/>
      <c r="EI77" s="308"/>
      <c r="EJ77" s="309"/>
      <c r="EK77" s="310"/>
      <c r="EL77" s="311"/>
      <c r="EM77" s="270"/>
      <c r="EN77" s="312"/>
      <c r="EO77" s="270"/>
      <c r="EP77" s="308"/>
      <c r="EQ77" s="309"/>
      <c r="ER77" s="310"/>
      <c r="ES77" s="311"/>
      <c r="ET77" s="270"/>
      <c r="EU77" s="312"/>
      <c r="EV77" s="270"/>
      <c r="EW77" s="308"/>
      <c r="EX77" s="309"/>
      <c r="EY77" s="310"/>
      <c r="EZ77" s="311"/>
      <c r="FA77" s="270"/>
      <c r="FB77" s="312"/>
      <c r="FC77" s="270"/>
      <c r="FD77" s="308"/>
      <c r="FE77" s="309"/>
      <c r="FF77" s="310"/>
      <c r="FG77" s="311"/>
      <c r="FH77" s="270"/>
      <c r="FI77" s="312"/>
      <c r="FJ77" s="270"/>
      <c r="FK77" s="308"/>
      <c r="FL77" s="309"/>
      <c r="FM77" s="310"/>
      <c r="FN77" s="311"/>
      <c r="FO77" s="270"/>
      <c r="FP77" s="312"/>
      <c r="FQ77" s="270"/>
      <c r="FR77" s="308"/>
      <c r="FS77" s="309"/>
      <c r="FT77" s="310"/>
      <c r="FU77" s="311"/>
      <c r="FV77" s="270"/>
      <c r="FW77" s="312"/>
      <c r="FX77" s="270"/>
      <c r="FY77" s="308"/>
      <c r="FZ77" s="309"/>
      <c r="GA77" s="310"/>
      <c r="GB77" s="311"/>
      <c r="GC77" s="270"/>
      <c r="GD77" s="312"/>
      <c r="GE77" s="270"/>
      <c r="GF77" s="308"/>
      <c r="GG77" s="309"/>
      <c r="GH77" s="310"/>
      <c r="GI77" s="311"/>
      <c r="GJ77" s="270"/>
      <c r="GK77" s="312"/>
      <c r="GL77" s="270"/>
      <c r="GM77" s="308"/>
      <c r="GN77" s="309"/>
      <c r="GO77" s="310"/>
      <c r="GP77" s="311"/>
      <c r="GQ77" s="270"/>
      <c r="GR77" s="312"/>
      <c r="GS77" s="270"/>
      <c r="GT77" s="308"/>
      <c r="GU77" s="309"/>
      <c r="GV77" s="310"/>
      <c r="GW77" s="311"/>
      <c r="GX77" s="270"/>
      <c r="GY77" s="312"/>
      <c r="GZ77" s="270"/>
      <c r="HA77" s="308"/>
      <c r="HB77" s="309"/>
      <c r="HC77" s="310"/>
      <c r="HD77" s="311"/>
      <c r="HE77" s="270"/>
      <c r="HF77" s="312"/>
      <c r="HG77" s="270"/>
      <c r="HH77" s="308"/>
      <c r="HI77" s="309"/>
      <c r="HJ77" s="310"/>
      <c r="HK77" s="311"/>
      <c r="HL77" s="270"/>
      <c r="HM77" s="312"/>
      <c r="HN77" s="270"/>
      <c r="HO77" s="308"/>
      <c r="HP77" s="309"/>
      <c r="HQ77" s="310"/>
      <c r="HR77" s="311"/>
      <c r="HS77" s="270"/>
      <c r="HT77" s="312"/>
      <c r="HU77" s="270"/>
      <c r="HV77" s="308"/>
      <c r="HW77" s="309"/>
      <c r="HX77" s="310"/>
      <c r="HY77" s="311"/>
      <c r="HZ77" s="270"/>
      <c r="IA77" s="312"/>
      <c r="IB77" s="270"/>
      <c r="IC77" s="308"/>
      <c r="ID77" s="309"/>
      <c r="IE77" s="310"/>
      <c r="IF77" s="311"/>
      <c r="IG77" s="270"/>
      <c r="IH77" s="312"/>
      <c r="II77" s="270"/>
      <c r="IJ77" s="308"/>
      <c r="IK77" s="309"/>
      <c r="IL77" s="310"/>
      <c r="IM77" s="311"/>
    </row>
    <row r="78" spans="1:160" s="49" customFormat="1" ht="56.25">
      <c r="A78" s="223">
        <v>91791</v>
      </c>
      <c r="B78" s="224" t="s">
        <v>495</v>
      </c>
      <c r="C78" s="30" t="str">
        <f>VLOOKUP(A78,Insumos!$A:$D,2,0)</f>
        <v>(Composição representativa) do serviços de instalação de tubos de PVC, série R, água pluvial, DN 150mm (instalado em condutores verticais), inclusive conexões, cortes e fixações, para prédios. AF_10/2015</v>
      </c>
      <c r="D78" s="159" t="str">
        <f>VLOOKUP(A78,Insumos!$A:$D,3,0)</f>
        <v>m</v>
      </c>
      <c r="E78" s="225">
        <v>86</v>
      </c>
      <c r="F78" s="313">
        <f>VLOOKUP(A78,Insumos!$A:$D,4,0)</f>
        <v>56.82</v>
      </c>
      <c r="G78" s="226">
        <f aca="true" t="shared" si="3" ref="G78:G104">ROUND(E78*F78,2)</f>
        <v>4886.52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</row>
    <row r="79" spans="1:160" s="49" customFormat="1" ht="56.25">
      <c r="A79" s="223">
        <v>91796</v>
      </c>
      <c r="B79" s="224" t="s">
        <v>496</v>
      </c>
      <c r="C79" s="30" t="str">
        <f>VLOOKUP(A79,Insumos!$A:$D,2,0)</f>
        <v>(Composição representativa) do serviços de instalação de tubos de PVC, série normal, esgoto predial, DN 150mm (instalado em sub-coletor aéreo), inclusive conexões, cortes e fixações, para prédios. AF_10/2015</v>
      </c>
      <c r="D79" s="159" t="str">
        <f>VLOOKUP(A79,Insumos!$A:$D,3,0)</f>
        <v>m</v>
      </c>
      <c r="E79" s="225">
        <v>50</v>
      </c>
      <c r="F79" s="313">
        <f>VLOOKUP(A79,Insumos!$A:$D,4,0)</f>
        <v>50.48</v>
      </c>
      <c r="G79" s="226">
        <f t="shared" si="3"/>
        <v>2524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</row>
    <row r="80" spans="1:160" s="49" customFormat="1" ht="56.25">
      <c r="A80" s="223">
        <v>91790</v>
      </c>
      <c r="B80" s="224" t="s">
        <v>497</v>
      </c>
      <c r="C80" s="30" t="str">
        <f>VLOOKUP(A80,Insumos!$A:$D,2,0)</f>
        <v>(Composição representativa) do serviços de instalação de tubos de PVC, série R, água pluvial, DN 100mm (instalado em ramal de encaminhamento, ou condutores verticais), inclusive conexões, cortes e fixações, para prédios. AF_10/2015</v>
      </c>
      <c r="D80" s="159" t="str">
        <f>VLOOKUP(A80,Insumos!$A:$D,3,0)</f>
        <v>m</v>
      </c>
      <c r="E80" s="225">
        <v>15</v>
      </c>
      <c r="F80" s="313">
        <f>VLOOKUP(A80,Insumos!$A:$D,4,0)</f>
        <v>45.28</v>
      </c>
      <c r="G80" s="226">
        <f t="shared" si="3"/>
        <v>679.2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</row>
    <row r="81" spans="1:160" s="49" customFormat="1" ht="33.75">
      <c r="A81" s="223">
        <v>89452</v>
      </c>
      <c r="B81" s="224" t="s">
        <v>498</v>
      </c>
      <c r="C81" s="30" t="str">
        <f>VLOOKUP(A81,Insumos!$A:$D,2,0)</f>
        <v>Tubo, PVC, soldável, DN 85mm, instalado em prumada de água - fornecimento e instalação. AF_12/2014</v>
      </c>
      <c r="D81" s="159" t="str">
        <f>VLOOKUP(A81,Insumos!$A:$D,3,0)</f>
        <v>m</v>
      </c>
      <c r="E81" s="225">
        <v>66</v>
      </c>
      <c r="F81" s="313">
        <f>VLOOKUP(A81,Insumos!$A:$D,4,0)</f>
        <v>36.14</v>
      </c>
      <c r="G81" s="226">
        <f t="shared" si="3"/>
        <v>2385.24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</row>
    <row r="82" spans="1:160" s="49" customFormat="1" ht="56.25">
      <c r="A82" s="223">
        <v>91789</v>
      </c>
      <c r="B82" s="224" t="s">
        <v>499</v>
      </c>
      <c r="C82" s="30" t="str">
        <f>VLOOKUP(A82,Insumos!$A:$D,2,0)</f>
        <v>(Composição representativa) do serviço de instalação de tubos de PVC, série R, água pluvial, DN 75mm (instalado em ramal de encaminhamento, ou condutores verticais), inclusive conexões, cortes e fixações, para prédios. AF_10/2015</v>
      </c>
      <c r="D82" s="159" t="str">
        <f>VLOOKUP(A82,Insumos!$A:$D,3,0)</f>
        <v>m</v>
      </c>
      <c r="E82" s="225">
        <v>3</v>
      </c>
      <c r="F82" s="313">
        <f>VLOOKUP(A82,Insumos!$A:$D,4,0)</f>
        <v>29.35</v>
      </c>
      <c r="G82" s="226">
        <f>ROUND(E82*F82,2)</f>
        <v>88.05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</row>
    <row r="83" spans="1:160" s="49" customFormat="1" ht="45">
      <c r="A83" s="223">
        <v>94652</v>
      </c>
      <c r="B83" s="224" t="s">
        <v>87</v>
      </c>
      <c r="C83" s="30" t="str">
        <f>VLOOKUP(A83,Insumos!$A:$D,2,0)</f>
        <v>Tubo, PVC, soldável, DN 60mm, instalado em reservação de água de edificação que possua reservatório de fibra/fibrocimento - fornecimento e instalação. AF_06/2016</v>
      </c>
      <c r="D83" s="159" t="str">
        <f>VLOOKUP(A83,Insumos!$A:$D,3,0)</f>
        <v>m</v>
      </c>
      <c r="E83" s="225">
        <v>34</v>
      </c>
      <c r="F83" s="313">
        <f>VLOOKUP(A83,Insumos!$A:$D,4,0)</f>
        <v>26.86</v>
      </c>
      <c r="G83" s="226">
        <f t="shared" si="3"/>
        <v>913.24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</row>
    <row r="84" spans="1:160" s="49" customFormat="1" ht="45">
      <c r="A84" s="223">
        <v>91788</v>
      </c>
      <c r="B84" s="224" t="s">
        <v>166</v>
      </c>
      <c r="C84" s="30" t="str">
        <f>VLOOKUP(A84,Insumos!$A:$D,2,0)</f>
        <v>(Composição representativa) do serviço de instalação de tubos de PVC, soldável, água fria, DN 50mm (instalado em prumada), inclusive conexões, cortes e fixações, para prédios. AF_10/2015</v>
      </c>
      <c r="D84" s="159" t="str">
        <f>VLOOKUP(A84,Insumos!$A:$D,3,0)</f>
        <v>m</v>
      </c>
      <c r="E84" s="225">
        <v>133</v>
      </c>
      <c r="F84" s="313">
        <f>VLOOKUP(A84,Insumos!$A:$D,4,0)</f>
        <v>27.52</v>
      </c>
      <c r="G84" s="226">
        <f t="shared" si="3"/>
        <v>3660.16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</row>
    <row r="85" spans="1:160" s="49" customFormat="1" ht="45">
      <c r="A85" s="223">
        <v>91787</v>
      </c>
      <c r="B85" s="224" t="s">
        <v>167</v>
      </c>
      <c r="C85" s="30" t="str">
        <f>VLOOKUP(A85,Insumos!$A:$D,2,0)</f>
        <v>(Composição representativa) do serviço de instalação de tubos de PVC, soldável, água fria, DN 40mm (instalado em prumada), inclusive conexões, cortes e fixações, para prédios. AF_10/2015</v>
      </c>
      <c r="D85" s="159" t="str">
        <f>VLOOKUP(A85,Insumos!$A:$D,3,0)</f>
        <v>m</v>
      </c>
      <c r="E85" s="225">
        <v>32</v>
      </c>
      <c r="F85" s="313">
        <f>VLOOKUP(A85,Insumos!$A:$D,4,0)</f>
        <v>21.08</v>
      </c>
      <c r="G85" s="226">
        <f t="shared" si="3"/>
        <v>674.56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</row>
    <row r="86" spans="1:160" s="49" customFormat="1" ht="56.25">
      <c r="A86" s="223">
        <v>91786</v>
      </c>
      <c r="B86" s="224" t="s">
        <v>168</v>
      </c>
      <c r="C86" s="30" t="str">
        <f>VLOOKUP(A86,Insumos!$A:$D,2,0)</f>
        <v>(Composição representativa) do serviço de instalação de tubos de PVC, soldável, água fria, DN 32mm (instalado em ramal, sub-ramal, ramal de distribuição ou prumada), inclusive conexões, cortes e fixações, para prédios. AF_10/2015</v>
      </c>
      <c r="D86" s="159" t="str">
        <f>VLOOKUP(A86,Insumos!$A:$D,3,0)</f>
        <v>m</v>
      </c>
      <c r="E86" s="225">
        <v>63</v>
      </c>
      <c r="F86" s="313">
        <f>VLOOKUP(A86,Insumos!$A:$D,4,0)</f>
        <v>20.45</v>
      </c>
      <c r="G86" s="226">
        <f t="shared" si="3"/>
        <v>1288.35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</row>
    <row r="87" spans="1:160" s="49" customFormat="1" ht="56.25">
      <c r="A87" s="223">
        <v>91785</v>
      </c>
      <c r="B87" s="224" t="s">
        <v>169</v>
      </c>
      <c r="C87" s="30" t="str">
        <f>VLOOKUP(A87,Insumos!$A:$D,2,0)</f>
        <v>(Composição representativa) do serviço de instalação de tubos de PVC, soldável, água fria, DN 25mm (instalado em ramal, sub-ramal, ramal de distribuição ou prumada), inclusive conexões, cortes e fixações, para prédios. AF_10/2015</v>
      </c>
      <c r="D87" s="159" t="str">
        <f>VLOOKUP(A87,Insumos!$A:$D,3,0)</f>
        <v>m</v>
      </c>
      <c r="E87" s="225">
        <v>4</v>
      </c>
      <c r="F87" s="313">
        <f>VLOOKUP(A87,Insumos!$A:$D,4,0)</f>
        <v>32.98</v>
      </c>
      <c r="G87" s="226">
        <f t="shared" si="3"/>
        <v>131.92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</row>
    <row r="88" spans="1:160" s="49" customFormat="1" ht="56.25">
      <c r="A88" s="223">
        <v>91784</v>
      </c>
      <c r="B88" s="224" t="s">
        <v>94</v>
      </c>
      <c r="C88" s="30" t="str">
        <f>VLOOKUP(A88,Insumos!$A:$D,2,0)</f>
        <v>(Composição representativa) do serviço de instalação de tubos de PVC, soldável, água fria, DN 20mm (instalado em ramal, sub-ramal ou ramal de distribuição), inclusive conexões, cortes e fixações, para prédios. AF_10/2015</v>
      </c>
      <c r="D88" s="159" t="str">
        <f>VLOOKUP(A88,Insumos!$A:$D,3,0)</f>
        <v>m</v>
      </c>
      <c r="E88" s="225">
        <v>7</v>
      </c>
      <c r="F88" s="313">
        <f>VLOOKUP(A88,Insumos!$A:$D,4,0)</f>
        <v>33.46</v>
      </c>
      <c r="G88" s="226">
        <f>ROUND(E88*F88,2)</f>
        <v>234.22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</row>
    <row r="89" spans="1:160" s="49" customFormat="1" ht="45">
      <c r="A89" s="223">
        <v>94696</v>
      </c>
      <c r="B89" s="224" t="s">
        <v>95</v>
      </c>
      <c r="C89" s="30" t="str">
        <f>VLOOKUP(A89,Insumos!$A:$D,2,0)</f>
        <v>Tê, PVC, soldável, DN 60mm instalado em reservação de água de edificação que possua reservatório de fibra/fibrocimento - fornecimento e instalação. AF_06/2016</v>
      </c>
      <c r="D89" s="159" t="str">
        <f>VLOOKUP(A89,Insumos!$A:$D,3,0)</f>
        <v>un</v>
      </c>
      <c r="E89" s="225">
        <v>8</v>
      </c>
      <c r="F89" s="313">
        <f>VLOOKUP(A89,Insumos!$A:$D,4,0)</f>
        <v>40.83</v>
      </c>
      <c r="G89" s="226">
        <f t="shared" si="3"/>
        <v>326.64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</row>
    <row r="90" spans="1:160" s="49" customFormat="1" ht="22.5">
      <c r="A90" s="223" t="str">
        <f>"CCU"&amp;B90</f>
        <v>CCU05.03.314</v>
      </c>
      <c r="B90" s="224" t="s">
        <v>115</v>
      </c>
      <c r="C90" s="30" t="s">
        <v>505</v>
      </c>
      <c r="D90" s="159" t="s">
        <v>251</v>
      </c>
      <c r="E90" s="225">
        <v>1</v>
      </c>
      <c r="F90" s="313">
        <f>VLOOKUP(A90,'CCU''s'!$A:$G,7,0)</f>
        <v>55.37</v>
      </c>
      <c r="G90" s="226">
        <f t="shared" si="3"/>
        <v>55.37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</row>
    <row r="91" spans="1:160" s="49" customFormat="1" ht="22.5">
      <c r="A91" s="223" t="str">
        <f>"CCU"&amp;B91</f>
        <v>CCU05.03.315</v>
      </c>
      <c r="B91" s="224" t="s">
        <v>116</v>
      </c>
      <c r="C91" s="30" t="s">
        <v>660</v>
      </c>
      <c r="D91" s="159" t="s">
        <v>251</v>
      </c>
      <c r="E91" s="225">
        <v>1</v>
      </c>
      <c r="F91" s="313">
        <f>VLOOKUP(A91,'CCU''s'!$A:$G,7,0)</f>
        <v>53.55</v>
      </c>
      <c r="G91" s="226">
        <f>ROUND(E91*F91,2)</f>
        <v>53.55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</row>
    <row r="92" spans="1:160" s="49" customFormat="1" ht="45">
      <c r="A92" s="223">
        <v>94680</v>
      </c>
      <c r="B92" s="224" t="s">
        <v>117</v>
      </c>
      <c r="C92" s="30" t="str">
        <f>VLOOKUP(A92,Insumos!$A:$D,2,0)</f>
        <v>Joelho 90 graus, PVC, soldável, DN 60mm instalado em reservação de água de edificação que possua reservatório de fibra/fibrocimento - fornecimento e instalação. AF_06/2016</v>
      </c>
      <c r="D92" s="159" t="str">
        <f>VLOOKUP(A92,Insumos!$A:$D,3,0)</f>
        <v>un</v>
      </c>
      <c r="E92" s="225">
        <v>10</v>
      </c>
      <c r="F92" s="313">
        <f>VLOOKUP(A92,Insumos!$A:$D,4,0)</f>
        <v>31.15</v>
      </c>
      <c r="G92" s="226">
        <f t="shared" si="3"/>
        <v>311.5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</row>
    <row r="93" spans="1:160" s="49" customFormat="1" ht="33.75">
      <c r="A93" s="223">
        <v>89506</v>
      </c>
      <c r="B93" s="224" t="s">
        <v>118</v>
      </c>
      <c r="C93" s="30" t="str">
        <f>VLOOKUP(A93,Insumos!$A:$D,2,0)</f>
        <v>Joelho 45 graus, PVC, soldável, DN 60mm, instalado em prumada de água - fornecimento e instalação. AF_12/2014</v>
      </c>
      <c r="D93" s="159" t="str">
        <f>VLOOKUP(A93,Insumos!$A:$D,3,0)</f>
        <v>un</v>
      </c>
      <c r="E93" s="225">
        <v>10</v>
      </c>
      <c r="F93" s="313">
        <f>VLOOKUP(A93,Insumos!$A:$D,4,0)</f>
        <v>26.47</v>
      </c>
      <c r="G93" s="226">
        <f t="shared" si="3"/>
        <v>264.7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</row>
    <row r="94" spans="1:160" s="49" customFormat="1" ht="45">
      <c r="A94" s="223">
        <v>94699</v>
      </c>
      <c r="B94" s="224" t="s">
        <v>119</v>
      </c>
      <c r="C94" s="30" t="str">
        <f>VLOOKUP(A94,Insumos!$A:$D,2,0)</f>
        <v>Tê, PVC, soldável, DN 85 mm instalado em reservação de água de edificação que possua reservatório de fibra/fibrocimento - fornecimento e instalação. AF_06/2016</v>
      </c>
      <c r="D94" s="159" t="str">
        <f>VLOOKUP(A94,Insumos!$A:$D,3,0)</f>
        <v>un</v>
      </c>
      <c r="E94" s="225">
        <v>5</v>
      </c>
      <c r="F94" s="313">
        <f>VLOOKUP(A94,Insumos!$A:$D,4,0)</f>
        <v>102.72</v>
      </c>
      <c r="G94" s="226">
        <f t="shared" si="3"/>
        <v>513.6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</row>
    <row r="95" spans="1:160" s="49" customFormat="1" ht="22.5">
      <c r="A95" s="223" t="str">
        <f>"CCU"&amp;B95</f>
        <v>CCU05.03.319</v>
      </c>
      <c r="B95" s="224" t="s">
        <v>149</v>
      </c>
      <c r="C95" s="30" t="s">
        <v>0</v>
      </c>
      <c r="D95" s="159" t="s">
        <v>251</v>
      </c>
      <c r="E95" s="225">
        <v>1</v>
      </c>
      <c r="F95" s="313">
        <f>VLOOKUP(A95,'CCU''s'!$A:$G,7,0)</f>
        <v>98.77</v>
      </c>
      <c r="G95" s="226">
        <f>ROUND(E95*F95,2)</f>
        <v>98.77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</row>
    <row r="96" spans="1:160" s="49" customFormat="1" ht="22.5">
      <c r="A96" s="223" t="str">
        <f>"CCU"&amp;B96</f>
        <v>CCU05.03.320</v>
      </c>
      <c r="B96" s="224" t="s">
        <v>150</v>
      </c>
      <c r="C96" s="30" t="s">
        <v>1</v>
      </c>
      <c r="D96" s="159" t="s">
        <v>251</v>
      </c>
      <c r="E96" s="225">
        <v>1</v>
      </c>
      <c r="F96" s="313">
        <f>VLOOKUP(A96,'CCU''s'!$A:$G,7,0)</f>
        <v>260.05</v>
      </c>
      <c r="G96" s="226">
        <f>ROUND(E96*F96,2)</f>
        <v>260.05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</row>
    <row r="97" spans="1:160" s="49" customFormat="1" ht="45">
      <c r="A97" s="223">
        <v>94684</v>
      </c>
      <c r="B97" s="224" t="s">
        <v>621</v>
      </c>
      <c r="C97" s="30" t="str">
        <f>VLOOKUP(A97,Insumos!$A:$D,2,0)</f>
        <v>Joelho 90 graus, PVC, soldável, DN 85mm instalado em reservação de água de edificação que possua reservatório de fibra/fibrocimento - fornecimento e instalação. AF_06/2016</v>
      </c>
      <c r="D97" s="159" t="str">
        <f>VLOOKUP(A97,Insumos!$A:$D,3,0)</f>
        <v>un</v>
      </c>
      <c r="E97" s="225">
        <v>7</v>
      </c>
      <c r="F97" s="313">
        <f>VLOOKUP(A97,Insumos!$A:$D,4,0)</f>
        <v>98.45</v>
      </c>
      <c r="G97" s="226">
        <f t="shared" si="3"/>
        <v>689.15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</row>
    <row r="98" spans="1:160" s="49" customFormat="1" ht="33.75">
      <c r="A98" s="223">
        <v>89523</v>
      </c>
      <c r="B98" s="224" t="s">
        <v>622</v>
      </c>
      <c r="C98" s="30" t="str">
        <f>VLOOKUP(A98,Insumos!$A:$D,2,0)</f>
        <v>Joelho 45 graus, PVC, soldável, DN 85mm, instalado em prumada de água - fornecimento e instalação. AF_12/2014</v>
      </c>
      <c r="D98" s="159" t="str">
        <f>VLOOKUP(A98,Insumos!$A:$D,3,0)</f>
        <v>un</v>
      </c>
      <c r="E98" s="225">
        <v>4</v>
      </c>
      <c r="F98" s="313">
        <f>VLOOKUP(A98,Insumos!$A:$D,4,0)</f>
        <v>63.57</v>
      </c>
      <c r="G98" s="226">
        <f t="shared" si="3"/>
        <v>254.28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</row>
    <row r="99" spans="1:160" s="49" customFormat="1" ht="22.5">
      <c r="A99" s="223" t="str">
        <f>"CCU"&amp;B99</f>
        <v>CCU05.03.323</v>
      </c>
      <c r="B99" s="224" t="s">
        <v>623</v>
      </c>
      <c r="C99" s="30" t="s">
        <v>12</v>
      </c>
      <c r="D99" s="159" t="s">
        <v>251</v>
      </c>
      <c r="E99" s="225">
        <v>1</v>
      </c>
      <c r="F99" s="313">
        <f>VLOOKUP(A99,'CCU''s'!$A:$G,7,0)</f>
        <v>50.66</v>
      </c>
      <c r="G99" s="226">
        <f t="shared" si="3"/>
        <v>50.66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</row>
    <row r="100" spans="1:160" s="49" customFormat="1" ht="56.25">
      <c r="A100" s="223">
        <v>94715</v>
      </c>
      <c r="B100" s="224" t="s">
        <v>630</v>
      </c>
      <c r="C100" s="30" t="str">
        <f>VLOOKUP(A100,Insumos!$A:$D,2,0)</f>
        <v>Adaptador com flanges livres, PVC, soldável, DN 110mm x 4, instalado em reservação de água de edificação que possua reservatório de fibra/fibrocimento - fornecimento e instalação. AF_06/2016</v>
      </c>
      <c r="D100" s="159" t="str">
        <f>VLOOKUP(A100,Insumos!$A:$D,3,0)</f>
        <v>un</v>
      </c>
      <c r="E100" s="225">
        <v>1</v>
      </c>
      <c r="F100" s="313">
        <f>VLOOKUP(A100,Insumos!$A:$D,4,0)</f>
        <v>244.51</v>
      </c>
      <c r="G100" s="226">
        <f>ROUND(E100*F100,2)</f>
        <v>244.51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</row>
    <row r="101" spans="1:160" s="49" customFormat="1" ht="56.25">
      <c r="A101" s="223">
        <v>94714</v>
      </c>
      <c r="B101" s="224" t="s">
        <v>2</v>
      </c>
      <c r="C101" s="30" t="str">
        <f>VLOOKUP(A101,Insumos!$A:$D,2,0)</f>
        <v>Adaptador com flanges livres, PVC, soldável, DN 85mm x 3, instalado em reservação de água de edificação que possua reservatório de fibra/fibrocimento - fornecimento e instalação. AF_06/2016</v>
      </c>
      <c r="D101" s="159" t="str">
        <f>VLOOKUP(A101,Insumos!$A:$D,3,0)</f>
        <v>un</v>
      </c>
      <c r="E101" s="225">
        <v>3</v>
      </c>
      <c r="F101" s="313">
        <f>VLOOKUP(A101,Insumos!$A:$D,4,0)</f>
        <v>178.35</v>
      </c>
      <c r="G101" s="226">
        <f t="shared" si="3"/>
        <v>535.05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</row>
    <row r="102" spans="1:160" s="49" customFormat="1" ht="56.25">
      <c r="A102" s="223">
        <v>94712</v>
      </c>
      <c r="B102" s="224" t="s">
        <v>3</v>
      </c>
      <c r="C102" s="30" t="str">
        <f>VLOOKUP(A102,Insumos!$A:$D,2,0)</f>
        <v>Adaptador com flanges livres, PVC, soldável, DN 60mm x 2, instalado em reservação de água de edificação que possua reservatório de fibra/fibrocimento - fornecimento e instalação. AF_06/2016</v>
      </c>
      <c r="D102" s="159" t="str">
        <f>VLOOKUP(A102,Insumos!$A:$D,3,0)</f>
        <v>un</v>
      </c>
      <c r="E102" s="225">
        <v>7</v>
      </c>
      <c r="F102" s="313">
        <f>VLOOKUP(A102,Insumos!$A:$D,4,0)</f>
        <v>53.6</v>
      </c>
      <c r="G102" s="226">
        <f t="shared" si="3"/>
        <v>375.2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</row>
    <row r="103" spans="1:160" s="49" customFormat="1" ht="56.25">
      <c r="A103" s="223">
        <v>94711</v>
      </c>
      <c r="B103" s="224" t="s">
        <v>4</v>
      </c>
      <c r="C103" s="30" t="str">
        <f>VLOOKUP(A103,Insumos!$A:$D,2,0)</f>
        <v>Adaptador com flanges livres, PVC, soldável, DN 50mm x 1.1/2, instalado em reservação de água de edificação que possua reservatório de fibra/fibrocimento - fornecimento e instalação. AF_06/2016</v>
      </c>
      <c r="D103" s="159" t="str">
        <f>VLOOKUP(A103,Insumos!$A:$D,3,0)</f>
        <v>un</v>
      </c>
      <c r="E103" s="225">
        <v>2</v>
      </c>
      <c r="F103" s="313">
        <f>VLOOKUP(A103,Insumos!$A:$D,4,0)</f>
        <v>41.12</v>
      </c>
      <c r="G103" s="226">
        <f t="shared" si="3"/>
        <v>82.24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</row>
    <row r="104" spans="1:160" s="49" customFormat="1" ht="56.25">
      <c r="A104" s="223">
        <v>94710</v>
      </c>
      <c r="B104" s="224" t="s">
        <v>5</v>
      </c>
      <c r="C104" s="30" t="str">
        <f>VLOOKUP(A104,Insumos!$A:$D,2,0)</f>
        <v>Adaptador com flanges livres, PVC, soldável, DN 40mm x 1.1/4, instalado em reservação de água de edificação que possua reservatório de fibra/fibrocimento - fornecimento e instalação. AF_06/2016</v>
      </c>
      <c r="D104" s="159" t="str">
        <f>VLOOKUP(A104,Insumos!$A:$D,3,0)</f>
        <v>un</v>
      </c>
      <c r="E104" s="225">
        <v>1</v>
      </c>
      <c r="F104" s="313">
        <f>VLOOKUP(A104,Insumos!$A:$D,4,0)</f>
        <v>33.53</v>
      </c>
      <c r="G104" s="226">
        <f t="shared" si="3"/>
        <v>33.53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</row>
    <row r="105" spans="1:247" ht="12.75">
      <c r="A105" s="213"/>
      <c r="B105" s="214" t="s">
        <v>488</v>
      </c>
      <c r="C105" s="215" t="s">
        <v>489</v>
      </c>
      <c r="D105" s="216"/>
      <c r="E105" s="217"/>
      <c r="F105" s="245"/>
      <c r="G105" s="217">
        <f>SUM(G106:G133)</f>
        <v>35435.98999999999</v>
      </c>
      <c r="H105" s="220"/>
      <c r="I105" s="221"/>
      <c r="J105" s="222"/>
      <c r="K105" s="246"/>
      <c r="L105" s="222"/>
      <c r="M105" s="218"/>
      <c r="N105" s="219"/>
      <c r="O105" s="220"/>
      <c r="P105" s="221"/>
      <c r="Q105" s="222"/>
      <c r="R105" s="246"/>
      <c r="S105" s="222"/>
      <c r="T105" s="218"/>
      <c r="U105" s="219"/>
      <c r="V105" s="220"/>
      <c r="W105" s="221"/>
      <c r="X105" s="222"/>
      <c r="Y105" s="246"/>
      <c r="Z105" s="222"/>
      <c r="AA105" s="218"/>
      <c r="AB105" s="219"/>
      <c r="AC105" s="220"/>
      <c r="AD105" s="221"/>
      <c r="AE105" s="222"/>
      <c r="AF105" s="246"/>
      <c r="AG105" s="222"/>
      <c r="AH105" s="218"/>
      <c r="AI105" s="219"/>
      <c r="AJ105" s="220"/>
      <c r="AK105" s="221"/>
      <c r="AL105" s="222"/>
      <c r="AM105" s="246"/>
      <c r="AN105" s="222"/>
      <c r="AO105" s="218"/>
      <c r="AP105" s="219"/>
      <c r="AQ105" s="220"/>
      <c r="AR105" s="221"/>
      <c r="AS105" s="222"/>
      <c r="AT105" s="246"/>
      <c r="AU105" s="222"/>
      <c r="AV105" s="218"/>
      <c r="AW105" s="219"/>
      <c r="AX105" s="220"/>
      <c r="AY105" s="221"/>
      <c r="AZ105" s="222"/>
      <c r="BA105" s="246"/>
      <c r="BB105" s="222"/>
      <c r="BC105" s="218"/>
      <c r="BD105" s="219"/>
      <c r="BE105" s="220"/>
      <c r="BF105" s="221"/>
      <c r="BG105" s="222"/>
      <c r="BH105" s="246"/>
      <c r="BI105" s="222"/>
      <c r="BJ105" s="218"/>
      <c r="BK105" s="219"/>
      <c r="BL105" s="220"/>
      <c r="BM105" s="221"/>
      <c r="BN105" s="222"/>
      <c r="BO105" s="246"/>
      <c r="BP105" s="222"/>
      <c r="BQ105" s="218"/>
      <c r="BR105" s="219"/>
      <c r="BS105" s="220"/>
      <c r="BT105" s="221"/>
      <c r="BU105" s="222"/>
      <c r="BV105" s="246"/>
      <c r="BW105" s="222"/>
      <c r="BX105" s="218"/>
      <c r="BY105" s="219"/>
      <c r="BZ105" s="220"/>
      <c r="CA105" s="221"/>
      <c r="CB105" s="222"/>
      <c r="CC105" s="246"/>
      <c r="CD105" s="222"/>
      <c r="CE105" s="218"/>
      <c r="CF105" s="219"/>
      <c r="CG105" s="220"/>
      <c r="CH105" s="221"/>
      <c r="CI105" s="222"/>
      <c r="CJ105" s="246"/>
      <c r="CK105" s="222"/>
      <c r="CL105" s="218"/>
      <c r="CM105" s="219"/>
      <c r="CN105" s="220"/>
      <c r="CO105" s="221"/>
      <c r="CP105" s="222"/>
      <c r="CQ105" s="246"/>
      <c r="CR105" s="222"/>
      <c r="CS105" s="218"/>
      <c r="CT105" s="219"/>
      <c r="CU105" s="220"/>
      <c r="CV105" s="221"/>
      <c r="CW105" s="222"/>
      <c r="CX105" s="246"/>
      <c r="CY105" s="222"/>
      <c r="CZ105" s="218"/>
      <c r="DA105" s="219"/>
      <c r="DB105" s="220"/>
      <c r="DC105" s="221"/>
      <c r="DD105" s="222"/>
      <c r="DE105" s="246"/>
      <c r="DF105" s="222"/>
      <c r="DG105" s="218"/>
      <c r="DH105" s="219"/>
      <c r="DI105" s="220"/>
      <c r="DJ105" s="221"/>
      <c r="DK105" s="222"/>
      <c r="DL105" s="246"/>
      <c r="DM105" s="222"/>
      <c r="DN105" s="218"/>
      <c r="DO105" s="219"/>
      <c r="DP105" s="220"/>
      <c r="DQ105" s="221"/>
      <c r="DR105" s="222"/>
      <c r="DS105" s="246"/>
      <c r="DT105" s="222"/>
      <c r="DU105" s="218"/>
      <c r="DV105" s="219"/>
      <c r="DW105" s="220"/>
      <c r="DX105" s="221"/>
      <c r="DY105" s="222"/>
      <c r="DZ105" s="246"/>
      <c r="EA105" s="222"/>
      <c r="EB105" s="218"/>
      <c r="EC105" s="219"/>
      <c r="ED105" s="220"/>
      <c r="EE105" s="221"/>
      <c r="EF105" s="222"/>
      <c r="EG105" s="246"/>
      <c r="EH105" s="222"/>
      <c r="EI105" s="218"/>
      <c r="EJ105" s="219"/>
      <c r="EK105" s="220"/>
      <c r="EL105" s="221"/>
      <c r="EM105" s="222"/>
      <c r="EN105" s="246"/>
      <c r="EO105" s="222"/>
      <c r="EP105" s="218"/>
      <c r="EQ105" s="219"/>
      <c r="ER105" s="220"/>
      <c r="ES105" s="221"/>
      <c r="ET105" s="222"/>
      <c r="EU105" s="246"/>
      <c r="EV105" s="222"/>
      <c r="EW105" s="218"/>
      <c r="EX105" s="219"/>
      <c r="EY105" s="220"/>
      <c r="EZ105" s="221"/>
      <c r="FA105" s="222"/>
      <c r="FB105" s="246"/>
      <c r="FC105" s="222"/>
      <c r="FD105" s="218"/>
      <c r="FE105" s="219"/>
      <c r="FF105" s="220"/>
      <c r="FG105" s="221"/>
      <c r="FH105" s="222"/>
      <c r="FI105" s="246"/>
      <c r="FJ105" s="222"/>
      <c r="FK105" s="218"/>
      <c r="FL105" s="219"/>
      <c r="FM105" s="220"/>
      <c r="FN105" s="221"/>
      <c r="FO105" s="222"/>
      <c r="FP105" s="246"/>
      <c r="FQ105" s="222"/>
      <c r="FR105" s="218"/>
      <c r="FS105" s="219"/>
      <c r="FT105" s="220"/>
      <c r="FU105" s="221"/>
      <c r="FV105" s="222"/>
      <c r="FW105" s="246"/>
      <c r="FX105" s="222"/>
      <c r="FY105" s="218"/>
      <c r="FZ105" s="219"/>
      <c r="GA105" s="220"/>
      <c r="GB105" s="221"/>
      <c r="GC105" s="222"/>
      <c r="GD105" s="246"/>
      <c r="GE105" s="222"/>
      <c r="GF105" s="218"/>
      <c r="GG105" s="219"/>
      <c r="GH105" s="220"/>
      <c r="GI105" s="221"/>
      <c r="GJ105" s="222"/>
      <c r="GK105" s="246"/>
      <c r="GL105" s="222"/>
      <c r="GM105" s="218"/>
      <c r="GN105" s="219"/>
      <c r="GO105" s="220"/>
      <c r="GP105" s="221"/>
      <c r="GQ105" s="222"/>
      <c r="GR105" s="246"/>
      <c r="GS105" s="222"/>
      <c r="GT105" s="218"/>
      <c r="GU105" s="219"/>
      <c r="GV105" s="220"/>
      <c r="GW105" s="221"/>
      <c r="GX105" s="222"/>
      <c r="GY105" s="246"/>
      <c r="GZ105" s="222"/>
      <c r="HA105" s="218"/>
      <c r="HB105" s="219"/>
      <c r="HC105" s="220"/>
      <c r="HD105" s="221"/>
      <c r="HE105" s="222"/>
      <c r="HF105" s="246"/>
      <c r="HG105" s="222"/>
      <c r="HH105" s="218"/>
      <c r="HI105" s="219"/>
      <c r="HJ105" s="220"/>
      <c r="HK105" s="221"/>
      <c r="HL105" s="222"/>
      <c r="HM105" s="246"/>
      <c r="HN105" s="222"/>
      <c r="HO105" s="218"/>
      <c r="HP105" s="219"/>
      <c r="HQ105" s="220"/>
      <c r="HR105" s="221"/>
      <c r="HS105" s="222"/>
      <c r="HT105" s="246"/>
      <c r="HU105" s="222"/>
      <c r="HV105" s="218"/>
      <c r="HW105" s="219"/>
      <c r="HX105" s="220"/>
      <c r="HY105" s="221"/>
      <c r="HZ105" s="222"/>
      <c r="IA105" s="246"/>
      <c r="IB105" s="222"/>
      <c r="IC105" s="218"/>
      <c r="ID105" s="219"/>
      <c r="IE105" s="220"/>
      <c r="IF105" s="221"/>
      <c r="IG105" s="222"/>
      <c r="IH105" s="246"/>
      <c r="II105" s="222"/>
      <c r="IJ105" s="218"/>
      <c r="IK105" s="219"/>
      <c r="IL105" s="220"/>
      <c r="IM105" s="221"/>
    </row>
    <row r="106" spans="1:160" s="49" customFormat="1" ht="45">
      <c r="A106" s="223">
        <v>94501</v>
      </c>
      <c r="B106" s="224" t="s">
        <v>490</v>
      </c>
      <c r="C106" s="30" t="str">
        <f>VLOOKUP(A106,Insumos!$A:$D,2,0)</f>
        <v>Registro de gaveta bruto, latão, roscável, 4", instalado em reservação de água de edificação que possua reservatório de fibra/fibrocimetno - fornecimento e instalação. AF_06/2016</v>
      </c>
      <c r="D106" s="159" t="str">
        <f>VLOOKUP(A106,Insumos!$A:$D,3,0)</f>
        <v>un</v>
      </c>
      <c r="E106" s="225">
        <v>1</v>
      </c>
      <c r="F106" s="313">
        <f>VLOOKUP(A106,Insumos!$A:$D,4,0)</f>
        <v>472.36</v>
      </c>
      <c r="G106" s="226">
        <f aca="true" t="shared" si="4" ref="G106:G128">ROUND(E106*F106,2)</f>
        <v>472.36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</row>
    <row r="107" spans="1:160" s="49" customFormat="1" ht="45">
      <c r="A107" s="223">
        <v>94500</v>
      </c>
      <c r="B107" s="224" t="s">
        <v>491</v>
      </c>
      <c r="C107" s="30" t="str">
        <f>VLOOKUP(A107,Insumos!$A:$D,2,0)</f>
        <v>Registro de gaveta bruto, latão, roscável, 3", instalado em reservação de água de edificação que possua reservatório de fibra/fibrocimetno - fornecimento e instalação. AF_06/2016</v>
      </c>
      <c r="D107" s="159" t="str">
        <f>VLOOKUP(A107,Insumos!$A:$D,3,0)</f>
        <v>un</v>
      </c>
      <c r="E107" s="225">
        <v>6</v>
      </c>
      <c r="F107" s="313">
        <f>VLOOKUP(A107,Insumos!$A:$D,4,0)</f>
        <v>243.61</v>
      </c>
      <c r="G107" s="226">
        <f t="shared" si="4"/>
        <v>1461.66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</row>
    <row r="108" spans="1:160" s="49" customFormat="1" ht="45">
      <c r="A108" s="223">
        <v>94498</v>
      </c>
      <c r="B108" s="224" t="s">
        <v>492</v>
      </c>
      <c r="C108" s="30" t="str">
        <f>VLOOKUP(A108,Insumos!$A:$D,2,0)</f>
        <v>Registro de gaveta bruto, latão, roscável, 2", instalado em reservação de água de edificação que possua reservatório de fibra/fibrocimetno - fornecimento e instalação. AF_06/2016</v>
      </c>
      <c r="D108" s="159" t="str">
        <f>VLOOKUP(A108,Insumos!$A:$D,3,0)</f>
        <v>un</v>
      </c>
      <c r="E108" s="225">
        <v>11</v>
      </c>
      <c r="F108" s="313">
        <f>VLOOKUP(A108,Insumos!$A:$D,4,0)</f>
        <v>115.24</v>
      </c>
      <c r="G108" s="226">
        <f t="shared" si="4"/>
        <v>1267.64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</row>
    <row r="109" spans="1:160" s="49" customFormat="1" ht="45">
      <c r="A109" s="223">
        <v>94497</v>
      </c>
      <c r="B109" s="224" t="s">
        <v>493</v>
      </c>
      <c r="C109" s="30" t="str">
        <f>VLOOKUP(A109,Insumos!$A:$D,2,0)</f>
        <v>Registro de gaveta bruto, latão, roscável, 1.1/2", instalado em reservação de água de edificação que possua reservatório de fibra/fibrocimetno - fornecimento e instalação. AF_06/2016</v>
      </c>
      <c r="D109" s="159" t="str">
        <f>VLOOKUP(A109,Insumos!$A:$D,3,0)</f>
        <v>un</v>
      </c>
      <c r="E109" s="225">
        <v>12</v>
      </c>
      <c r="F109" s="313">
        <f>VLOOKUP(A109,Insumos!$A:$D,4,0)</f>
        <v>90.18</v>
      </c>
      <c r="G109" s="226">
        <f t="shared" si="4"/>
        <v>1082.16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</row>
    <row r="110" spans="1:160" s="49" customFormat="1" ht="45">
      <c r="A110" s="223">
        <v>94495</v>
      </c>
      <c r="B110" s="224" t="s">
        <v>494</v>
      </c>
      <c r="C110" s="30" t="str">
        <f>VLOOKUP(A110,Insumos!$A:$D,2,0)</f>
        <v>Registro de gaveta bruto, latão, roscável, 1", instalado em reservação de água de edificação que possua reservatório de fibra/fibrocimetno - fornecimento e instalação. AF_06/2016</v>
      </c>
      <c r="D110" s="159" t="str">
        <f>VLOOKUP(A110,Insumos!$A:$D,3,0)</f>
        <v>un</v>
      </c>
      <c r="E110" s="225">
        <v>9</v>
      </c>
      <c r="F110" s="313">
        <f>VLOOKUP(A110,Insumos!$A:$D,4,0)</f>
        <v>64.23</v>
      </c>
      <c r="G110" s="226">
        <f t="shared" si="4"/>
        <v>578.07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</row>
    <row r="111" spans="1:160" s="49" customFormat="1" ht="33.75">
      <c r="A111" s="223">
        <v>89987</v>
      </c>
      <c r="B111" s="224" t="s">
        <v>97</v>
      </c>
      <c r="C111" s="30" t="str">
        <f>VLOOKUP(A111,Insumos!$A:$D,2,0)</f>
        <v>Registro de gaveta bruto, latão, roscável, 3/4", com acabamento e canopla cromados. Fornecido e instalado em ramal de água. AF_12/2014</v>
      </c>
      <c r="D111" s="159" t="str">
        <f>VLOOKUP(A111,Insumos!$A:$D,3,0)</f>
        <v>un</v>
      </c>
      <c r="E111" s="225">
        <v>1</v>
      </c>
      <c r="F111" s="313">
        <f>VLOOKUP(A111,Insumos!$A:$D,4,0)</f>
        <v>64.47</v>
      </c>
      <c r="G111" s="226">
        <f t="shared" si="4"/>
        <v>64.47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</row>
    <row r="112" spans="1:160" s="49" customFormat="1" ht="33.75">
      <c r="A112" s="223">
        <v>89986</v>
      </c>
      <c r="B112" s="224" t="s">
        <v>98</v>
      </c>
      <c r="C112" s="30" t="str">
        <f>VLOOKUP(A112,Insumos!$A:$D,2,0)</f>
        <v>Registro de gaveta bruto, latão, roscável, 1/2", com acabamento e canopla cromados. Fornecido e instalado em ramal de água. AF_12/2014</v>
      </c>
      <c r="D112" s="159" t="str">
        <f>VLOOKUP(A112,Insumos!$A:$D,3,0)</f>
        <v>un</v>
      </c>
      <c r="E112" s="225">
        <v>2</v>
      </c>
      <c r="F112" s="313">
        <f>VLOOKUP(A112,Insumos!$A:$D,4,0)</f>
        <v>58.31</v>
      </c>
      <c r="G112" s="226">
        <f t="shared" si="4"/>
        <v>116.62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</row>
    <row r="113" spans="1:160" s="49" customFormat="1" ht="22.5">
      <c r="A113" s="223">
        <v>99631</v>
      </c>
      <c r="B113" s="224" t="s">
        <v>97</v>
      </c>
      <c r="C113" s="30" t="str">
        <f>VLOOKUP(A113,Insumos!$A:$D,2,0)</f>
        <v>Válvula de retenção vertical, de bronze, roscável, 1.1/2" - fornecimento e instalação. AF_01/2019</v>
      </c>
      <c r="D113" s="159" t="str">
        <f>VLOOKUP(A113,Insumos!$A:$D,3,0)</f>
        <v>un</v>
      </c>
      <c r="E113" s="225">
        <v>4</v>
      </c>
      <c r="F113" s="313">
        <f>VLOOKUP(A113,Insumos!$A:$D,4,0)</f>
        <v>86.7</v>
      </c>
      <c r="G113" s="226">
        <f t="shared" si="4"/>
        <v>346.8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</row>
    <row r="114" spans="1:160" s="49" customFormat="1" ht="22.5">
      <c r="A114" s="223">
        <v>94798</v>
      </c>
      <c r="B114" s="224" t="s">
        <v>98</v>
      </c>
      <c r="C114" s="30" t="str">
        <f>VLOOKUP(A114,Insumos!$A:$D,2,0)</f>
        <v>Torneira de bóia, roscável, 1.1/4", fornecida e instalada em reservação de água. AF_06/2016</v>
      </c>
      <c r="D114" s="159" t="str">
        <f>VLOOKUP(A114,Insumos!$A:$D,3,0)</f>
        <v>un</v>
      </c>
      <c r="E114" s="225">
        <v>1</v>
      </c>
      <c r="F114" s="313">
        <f>VLOOKUP(A114,Insumos!$A:$D,4,0)</f>
        <v>144.57</v>
      </c>
      <c r="G114" s="226">
        <f t="shared" si="4"/>
        <v>144.57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</row>
    <row r="115" spans="1:160" s="49" customFormat="1" ht="22.5">
      <c r="A115" s="223">
        <v>94799</v>
      </c>
      <c r="B115" s="224" t="s">
        <v>99</v>
      </c>
      <c r="C115" s="30" t="str">
        <f>VLOOKUP(A115,Insumos!$A:$D,2,0)</f>
        <v>Torneira de bóia, roscável, 1.1/2", fornecida e instalada em reservação de água. AF_06/2016</v>
      </c>
      <c r="D115" s="159" t="str">
        <f>VLOOKUP(A115,Insumos!$A:$D,3,0)</f>
        <v>un</v>
      </c>
      <c r="E115" s="225">
        <v>1</v>
      </c>
      <c r="F115" s="313">
        <f>VLOOKUP(A115,Insumos!$A:$D,4,0)</f>
        <v>138.72</v>
      </c>
      <c r="G115" s="226">
        <f t="shared" si="4"/>
        <v>138.72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</row>
    <row r="116" spans="1:160" s="49" customFormat="1" ht="22.5">
      <c r="A116" s="223" t="str">
        <f aca="true" t="shared" si="5" ref="A116:A133">"CCU"&amp;B116</f>
        <v>CCU05.03.809</v>
      </c>
      <c r="B116" s="224" t="s">
        <v>104</v>
      </c>
      <c r="C116" s="30" t="s">
        <v>513</v>
      </c>
      <c r="D116" s="159" t="s">
        <v>251</v>
      </c>
      <c r="E116" s="225">
        <v>2</v>
      </c>
      <c r="F116" s="313">
        <f>VLOOKUP(A116,'CCU''s'!$A:$G,7,0)</f>
        <v>641.23</v>
      </c>
      <c r="G116" s="226">
        <f t="shared" si="4"/>
        <v>1282.46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</row>
    <row r="117" spans="1:160" s="49" customFormat="1" ht="22.5">
      <c r="A117" s="223" t="str">
        <f t="shared" si="5"/>
        <v>CCU05.03.810</v>
      </c>
      <c r="B117" s="224" t="s">
        <v>105</v>
      </c>
      <c r="C117" s="30" t="s">
        <v>632</v>
      </c>
      <c r="D117" s="159" t="s">
        <v>251</v>
      </c>
      <c r="E117" s="225">
        <v>1</v>
      </c>
      <c r="F117" s="313">
        <f>VLOOKUP(A117,'CCU''s'!$A:$G,7,0)</f>
        <v>933.73</v>
      </c>
      <c r="G117" s="226">
        <f>ROUND(E117*F117,2)</f>
        <v>933.73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</row>
    <row r="118" spans="1:160" s="49" customFormat="1" ht="22.5">
      <c r="A118" s="223" t="str">
        <f t="shared" si="5"/>
        <v>CCU05.03.811</v>
      </c>
      <c r="B118" s="224" t="s">
        <v>106</v>
      </c>
      <c r="C118" s="30" t="s">
        <v>634</v>
      </c>
      <c r="D118" s="159" t="s">
        <v>251</v>
      </c>
      <c r="E118" s="225">
        <v>3</v>
      </c>
      <c r="F118" s="313">
        <f>VLOOKUP(A118,'CCU''s'!$A:$G,7,0)</f>
        <v>223.67</v>
      </c>
      <c r="G118" s="226">
        <f t="shared" si="4"/>
        <v>671.01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</row>
    <row r="119" spans="1:160" s="49" customFormat="1" ht="22.5">
      <c r="A119" s="223" t="str">
        <f t="shared" si="5"/>
        <v>CCU05.03.812</v>
      </c>
      <c r="B119" s="224" t="s">
        <v>152</v>
      </c>
      <c r="C119" s="30" t="s">
        <v>636</v>
      </c>
      <c r="D119" s="159" t="s">
        <v>251</v>
      </c>
      <c r="E119" s="225">
        <v>2</v>
      </c>
      <c r="F119" s="313">
        <f>VLOOKUP(A119,'CCU''s'!$A:$G,7,0)</f>
        <v>1467.15</v>
      </c>
      <c r="G119" s="226">
        <f t="shared" si="4"/>
        <v>2934.3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</row>
    <row r="120" spans="1:160" s="49" customFormat="1" ht="22.5">
      <c r="A120" s="223" t="str">
        <f t="shared" si="5"/>
        <v>CCU05.03.813</v>
      </c>
      <c r="B120" s="224" t="s">
        <v>455</v>
      </c>
      <c r="C120" s="30" t="s">
        <v>589</v>
      </c>
      <c r="D120" s="159" t="s">
        <v>251</v>
      </c>
      <c r="E120" s="225">
        <v>2</v>
      </c>
      <c r="F120" s="313">
        <f>VLOOKUP(A120,'CCU''s'!$A:$G,7,0)</f>
        <v>1829.4</v>
      </c>
      <c r="G120" s="226">
        <f t="shared" si="4"/>
        <v>3658.8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</row>
    <row r="121" spans="1:160" s="49" customFormat="1" ht="22.5">
      <c r="A121" s="223" t="str">
        <f t="shared" si="5"/>
        <v>CCU05.03.814</v>
      </c>
      <c r="B121" s="224" t="s">
        <v>456</v>
      </c>
      <c r="C121" s="30" t="s">
        <v>535</v>
      </c>
      <c r="D121" s="159" t="s">
        <v>251</v>
      </c>
      <c r="E121" s="225">
        <v>3</v>
      </c>
      <c r="F121" s="313">
        <f>VLOOKUP(A121,'CCU''s'!$A:$G,7,0)</f>
        <v>570.76</v>
      </c>
      <c r="G121" s="226">
        <f t="shared" si="4"/>
        <v>1712.28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</row>
    <row r="122" spans="1:160" s="49" customFormat="1" ht="33.75">
      <c r="A122" s="223" t="str">
        <f t="shared" si="5"/>
        <v>CCU05.03.815</v>
      </c>
      <c r="B122" s="224" t="s">
        <v>457</v>
      </c>
      <c r="C122" s="30" t="s">
        <v>639</v>
      </c>
      <c r="D122" s="159" t="s">
        <v>251</v>
      </c>
      <c r="E122" s="225">
        <v>1</v>
      </c>
      <c r="F122" s="313">
        <f>VLOOKUP(A122,'CCU''s'!$A:$G,7,0)</f>
        <v>772.8900000000001</v>
      </c>
      <c r="G122" s="226">
        <f t="shared" si="4"/>
        <v>772.89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</row>
    <row r="123" spans="1:160" s="49" customFormat="1" ht="12.75">
      <c r="A123" s="223" t="str">
        <f t="shared" si="5"/>
        <v>CCU05.03.816</v>
      </c>
      <c r="B123" s="224" t="s">
        <v>176</v>
      </c>
      <c r="C123" s="30" t="s">
        <v>485</v>
      </c>
      <c r="D123" s="159" t="s">
        <v>251</v>
      </c>
      <c r="E123" s="225">
        <v>1</v>
      </c>
      <c r="F123" s="313">
        <f>VLOOKUP(A123,'CCU''s'!$A:$G,7,0)</f>
        <v>1893.6999999999998</v>
      </c>
      <c r="G123" s="226">
        <f t="shared" si="4"/>
        <v>1893.7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</row>
    <row r="124" spans="1:160" s="49" customFormat="1" ht="22.5">
      <c r="A124" s="223" t="str">
        <f t="shared" si="5"/>
        <v>CCU05.03.817</v>
      </c>
      <c r="B124" s="224" t="s">
        <v>536</v>
      </c>
      <c r="C124" s="30" t="s">
        <v>520</v>
      </c>
      <c r="D124" s="159" t="s">
        <v>251</v>
      </c>
      <c r="E124" s="225">
        <v>3</v>
      </c>
      <c r="F124" s="313">
        <f>VLOOKUP(A124,'CCU''s'!$A:$G,7,0)</f>
        <v>1085.6</v>
      </c>
      <c r="G124" s="226">
        <f t="shared" si="4"/>
        <v>3256.8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</row>
    <row r="125" spans="1:160" s="49" customFormat="1" ht="22.5">
      <c r="A125" s="223" t="str">
        <f t="shared" si="5"/>
        <v>CCU05.03.818</v>
      </c>
      <c r="B125" s="224" t="s">
        <v>537</v>
      </c>
      <c r="C125" s="30" t="s">
        <v>651</v>
      </c>
      <c r="D125" s="159" t="s">
        <v>251</v>
      </c>
      <c r="E125" s="225">
        <v>1</v>
      </c>
      <c r="F125" s="313">
        <f>VLOOKUP(A125,'CCU''s'!$A:$G,7,0)</f>
        <v>1740.75</v>
      </c>
      <c r="G125" s="226">
        <f t="shared" si="4"/>
        <v>1740.75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</row>
    <row r="126" spans="1:160" s="49" customFormat="1" ht="22.5">
      <c r="A126" s="223" t="str">
        <f t="shared" si="5"/>
        <v>CCU05.03.819</v>
      </c>
      <c r="B126" s="224" t="s">
        <v>538</v>
      </c>
      <c r="C126" s="30" t="s">
        <v>652</v>
      </c>
      <c r="D126" s="159" t="s">
        <v>251</v>
      </c>
      <c r="E126" s="225">
        <v>2</v>
      </c>
      <c r="F126" s="313">
        <f>VLOOKUP(A126,'CCU''s'!$A:$G,7,0)</f>
        <v>1232.55</v>
      </c>
      <c r="G126" s="226">
        <f t="shared" si="4"/>
        <v>2465.1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</row>
    <row r="127" spans="1:160" s="49" customFormat="1" ht="22.5">
      <c r="A127" s="223" t="str">
        <f t="shared" si="5"/>
        <v>CCU05.03.820</v>
      </c>
      <c r="B127" s="224" t="s">
        <v>539</v>
      </c>
      <c r="C127" s="30" t="s">
        <v>523</v>
      </c>
      <c r="D127" s="159" t="s">
        <v>251</v>
      </c>
      <c r="E127" s="225">
        <v>1</v>
      </c>
      <c r="F127" s="313">
        <f>VLOOKUP(A127,'CCU''s'!$A:$G,7,0)</f>
        <v>3014.96</v>
      </c>
      <c r="G127" s="226">
        <f t="shared" si="4"/>
        <v>3014.96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</row>
    <row r="128" spans="1:160" s="49" customFormat="1" ht="22.5">
      <c r="A128" s="223" t="str">
        <f t="shared" si="5"/>
        <v>CCU05.03.821</v>
      </c>
      <c r="B128" s="224" t="s">
        <v>540</v>
      </c>
      <c r="C128" s="30" t="s">
        <v>522</v>
      </c>
      <c r="D128" s="159" t="s">
        <v>251</v>
      </c>
      <c r="E128" s="225">
        <v>2</v>
      </c>
      <c r="F128" s="313">
        <f>VLOOKUP(A128,'CCU''s'!$A:$G,7,0)</f>
        <v>1597.4599999999998</v>
      </c>
      <c r="G128" s="226">
        <f t="shared" si="4"/>
        <v>3194.92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</row>
    <row r="129" spans="1:160" s="49" customFormat="1" ht="22.5">
      <c r="A129" s="223" t="str">
        <f>"CCU"&amp;B129</f>
        <v>CCU05.03.822</v>
      </c>
      <c r="B129" s="224" t="s">
        <v>541</v>
      </c>
      <c r="C129" s="30" t="s">
        <v>647</v>
      </c>
      <c r="D129" s="159" t="s">
        <v>251</v>
      </c>
      <c r="E129" s="225">
        <v>1</v>
      </c>
      <c r="F129" s="313">
        <f>VLOOKUP(A129,'CCU''s'!$A:$G,7,0)</f>
        <v>862.46</v>
      </c>
      <c r="G129" s="226">
        <f>ROUND(E129*F129,2)</f>
        <v>862.46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</row>
    <row r="130" spans="1:160" s="49" customFormat="1" ht="22.5">
      <c r="A130" s="223" t="str">
        <f t="shared" si="5"/>
        <v>CCU05.03.823</v>
      </c>
      <c r="B130" s="224" t="s">
        <v>542</v>
      </c>
      <c r="C130" s="30" t="s">
        <v>548</v>
      </c>
      <c r="D130" s="159" t="s">
        <v>251</v>
      </c>
      <c r="E130" s="225">
        <v>1</v>
      </c>
      <c r="F130" s="313">
        <f>VLOOKUP(A130,'CCU''s'!$A:$G,7,0)</f>
        <v>305.18</v>
      </c>
      <c r="G130" s="226">
        <f>ROUND(E130*F130,2)</f>
        <v>305.18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</row>
    <row r="131" spans="1:160" s="49" customFormat="1" ht="12.75">
      <c r="A131" s="223" t="str">
        <f t="shared" si="5"/>
        <v>CCU05.03.824</v>
      </c>
      <c r="B131" s="224" t="s">
        <v>633</v>
      </c>
      <c r="C131" s="30" t="s">
        <v>549</v>
      </c>
      <c r="D131" s="159" t="s">
        <v>251</v>
      </c>
      <c r="E131" s="225">
        <v>8</v>
      </c>
      <c r="F131" s="313">
        <f>VLOOKUP(A131,'CCU''s'!$A:$G,7,0)</f>
        <v>13.739999999999998</v>
      </c>
      <c r="G131" s="226">
        <f>ROUND(E131*F131,2)</f>
        <v>109.92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</row>
    <row r="132" spans="1:160" s="49" customFormat="1" ht="12.75">
      <c r="A132" s="223" t="str">
        <f>"CCU"&amp;B132</f>
        <v>CCU05.03.825</v>
      </c>
      <c r="B132" s="224" t="s">
        <v>646</v>
      </c>
      <c r="C132" s="30" t="s">
        <v>654</v>
      </c>
      <c r="D132" s="159" t="s">
        <v>251</v>
      </c>
      <c r="E132" s="225">
        <v>2</v>
      </c>
      <c r="F132" s="313">
        <f>VLOOKUP(A132,'CCU''s'!$A:$G,7,0)</f>
        <v>8.410000000000002</v>
      </c>
      <c r="G132" s="226">
        <f>ROUND(E132*F132,2)</f>
        <v>16.82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</row>
    <row r="133" spans="1:160" s="49" customFormat="1" ht="22.5">
      <c r="A133" s="223" t="str">
        <f t="shared" si="5"/>
        <v>CCU05.03.826</v>
      </c>
      <c r="B133" s="224" t="s">
        <v>653</v>
      </c>
      <c r="C133" s="30" t="s">
        <v>534</v>
      </c>
      <c r="D133" s="159" t="s">
        <v>251</v>
      </c>
      <c r="E133" s="225">
        <v>12</v>
      </c>
      <c r="F133" s="313">
        <f>VLOOKUP(A133,'CCU''s'!$A:$G,7,0)</f>
        <v>78.07</v>
      </c>
      <c r="G133" s="226">
        <f>ROUND(E133*F133,2)</f>
        <v>936.84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</row>
    <row r="134" spans="1:247" ht="12.75">
      <c r="A134" s="213"/>
      <c r="B134" s="214" t="s">
        <v>182</v>
      </c>
      <c r="C134" s="215" t="s">
        <v>196</v>
      </c>
      <c r="D134" s="216"/>
      <c r="E134" s="217"/>
      <c r="F134" s="245"/>
      <c r="G134" s="217">
        <f>SUM(G135:G147)</f>
        <v>13940.680000000002</v>
      </c>
      <c r="H134" s="220"/>
      <c r="I134" s="221"/>
      <c r="J134" s="222"/>
      <c r="K134" s="246"/>
      <c r="L134" s="222"/>
      <c r="M134" s="218"/>
      <c r="N134" s="219"/>
      <c r="O134" s="220"/>
      <c r="P134" s="221"/>
      <c r="Q134" s="222"/>
      <c r="R134" s="246"/>
      <c r="S134" s="222"/>
      <c r="T134" s="218"/>
      <c r="U134" s="219"/>
      <c r="V134" s="220"/>
      <c r="W134" s="221"/>
      <c r="X134" s="222"/>
      <c r="Y134" s="246"/>
      <c r="Z134" s="222"/>
      <c r="AA134" s="218"/>
      <c r="AB134" s="219"/>
      <c r="AC134" s="220"/>
      <c r="AD134" s="221"/>
      <c r="AE134" s="222"/>
      <c r="AF134" s="246"/>
      <c r="AG134" s="222"/>
      <c r="AH134" s="218"/>
      <c r="AI134" s="219"/>
      <c r="AJ134" s="220"/>
      <c r="AK134" s="221"/>
      <c r="AL134" s="222"/>
      <c r="AM134" s="246"/>
      <c r="AN134" s="222"/>
      <c r="AO134" s="218"/>
      <c r="AP134" s="219"/>
      <c r="AQ134" s="220"/>
      <c r="AR134" s="221"/>
      <c r="AS134" s="222"/>
      <c r="AT134" s="246"/>
      <c r="AU134" s="222"/>
      <c r="AV134" s="218"/>
      <c r="AW134" s="219"/>
      <c r="AX134" s="220"/>
      <c r="AY134" s="221"/>
      <c r="AZ134" s="222"/>
      <c r="BA134" s="246"/>
      <c r="BB134" s="222"/>
      <c r="BC134" s="218"/>
      <c r="BD134" s="219"/>
      <c r="BE134" s="220"/>
      <c r="BF134" s="221"/>
      <c r="BG134" s="222"/>
      <c r="BH134" s="246"/>
      <c r="BI134" s="222"/>
      <c r="BJ134" s="218"/>
      <c r="BK134" s="219"/>
      <c r="BL134" s="220"/>
      <c r="BM134" s="221"/>
      <c r="BN134" s="222"/>
      <c r="BO134" s="246"/>
      <c r="BP134" s="222"/>
      <c r="BQ134" s="218"/>
      <c r="BR134" s="219"/>
      <c r="BS134" s="220"/>
      <c r="BT134" s="221"/>
      <c r="BU134" s="222"/>
      <c r="BV134" s="246"/>
      <c r="BW134" s="222"/>
      <c r="BX134" s="218"/>
      <c r="BY134" s="219"/>
      <c r="BZ134" s="220"/>
      <c r="CA134" s="221"/>
      <c r="CB134" s="222"/>
      <c r="CC134" s="246"/>
      <c r="CD134" s="222"/>
      <c r="CE134" s="218"/>
      <c r="CF134" s="219"/>
      <c r="CG134" s="220"/>
      <c r="CH134" s="221"/>
      <c r="CI134" s="222"/>
      <c r="CJ134" s="246"/>
      <c r="CK134" s="222"/>
      <c r="CL134" s="218"/>
      <c r="CM134" s="219"/>
      <c r="CN134" s="220"/>
      <c r="CO134" s="221"/>
      <c r="CP134" s="222"/>
      <c r="CQ134" s="246"/>
      <c r="CR134" s="222"/>
      <c r="CS134" s="218"/>
      <c r="CT134" s="219"/>
      <c r="CU134" s="220"/>
      <c r="CV134" s="221"/>
      <c r="CW134" s="222"/>
      <c r="CX134" s="246"/>
      <c r="CY134" s="222"/>
      <c r="CZ134" s="218"/>
      <c r="DA134" s="219"/>
      <c r="DB134" s="220"/>
      <c r="DC134" s="221"/>
      <c r="DD134" s="222"/>
      <c r="DE134" s="246"/>
      <c r="DF134" s="222"/>
      <c r="DG134" s="218"/>
      <c r="DH134" s="219"/>
      <c r="DI134" s="220"/>
      <c r="DJ134" s="221"/>
      <c r="DK134" s="222"/>
      <c r="DL134" s="246"/>
      <c r="DM134" s="222"/>
      <c r="DN134" s="218"/>
      <c r="DO134" s="219"/>
      <c r="DP134" s="220"/>
      <c r="DQ134" s="221"/>
      <c r="DR134" s="222"/>
      <c r="DS134" s="246"/>
      <c r="DT134" s="222"/>
      <c r="DU134" s="218"/>
      <c r="DV134" s="219"/>
      <c r="DW134" s="220"/>
      <c r="DX134" s="221"/>
      <c r="DY134" s="222"/>
      <c r="DZ134" s="246"/>
      <c r="EA134" s="222"/>
      <c r="EB134" s="218"/>
      <c r="EC134" s="219"/>
      <c r="ED134" s="220"/>
      <c r="EE134" s="221"/>
      <c r="EF134" s="222"/>
      <c r="EG134" s="246"/>
      <c r="EH134" s="222"/>
      <c r="EI134" s="218"/>
      <c r="EJ134" s="219"/>
      <c r="EK134" s="220"/>
      <c r="EL134" s="221"/>
      <c r="EM134" s="222"/>
      <c r="EN134" s="246"/>
      <c r="EO134" s="222"/>
      <c r="EP134" s="218"/>
      <c r="EQ134" s="219"/>
      <c r="ER134" s="220"/>
      <c r="ES134" s="221"/>
      <c r="ET134" s="222"/>
      <c r="EU134" s="246"/>
      <c r="EV134" s="222"/>
      <c r="EW134" s="218"/>
      <c r="EX134" s="219"/>
      <c r="EY134" s="220"/>
      <c r="EZ134" s="221"/>
      <c r="FA134" s="222"/>
      <c r="FB134" s="246"/>
      <c r="FC134" s="222"/>
      <c r="FD134" s="218"/>
      <c r="FE134" s="219"/>
      <c r="FF134" s="220"/>
      <c r="FG134" s="221"/>
      <c r="FH134" s="222"/>
      <c r="FI134" s="246"/>
      <c r="FJ134" s="222"/>
      <c r="FK134" s="218"/>
      <c r="FL134" s="219"/>
      <c r="FM134" s="220"/>
      <c r="FN134" s="221"/>
      <c r="FO134" s="222"/>
      <c r="FP134" s="246"/>
      <c r="FQ134" s="222"/>
      <c r="FR134" s="218"/>
      <c r="FS134" s="219"/>
      <c r="FT134" s="220"/>
      <c r="FU134" s="221"/>
      <c r="FV134" s="222"/>
      <c r="FW134" s="246"/>
      <c r="FX134" s="222"/>
      <c r="FY134" s="218"/>
      <c r="FZ134" s="219"/>
      <c r="GA134" s="220"/>
      <c r="GB134" s="221"/>
      <c r="GC134" s="222"/>
      <c r="GD134" s="246"/>
      <c r="GE134" s="222"/>
      <c r="GF134" s="218"/>
      <c r="GG134" s="219"/>
      <c r="GH134" s="220"/>
      <c r="GI134" s="221"/>
      <c r="GJ134" s="222"/>
      <c r="GK134" s="246"/>
      <c r="GL134" s="222"/>
      <c r="GM134" s="218"/>
      <c r="GN134" s="219"/>
      <c r="GO134" s="220"/>
      <c r="GP134" s="221"/>
      <c r="GQ134" s="222"/>
      <c r="GR134" s="246"/>
      <c r="GS134" s="222"/>
      <c r="GT134" s="218"/>
      <c r="GU134" s="219"/>
      <c r="GV134" s="220"/>
      <c r="GW134" s="221"/>
      <c r="GX134" s="222"/>
      <c r="GY134" s="246"/>
      <c r="GZ134" s="222"/>
      <c r="HA134" s="218"/>
      <c r="HB134" s="219"/>
      <c r="HC134" s="220"/>
      <c r="HD134" s="221"/>
      <c r="HE134" s="222"/>
      <c r="HF134" s="246"/>
      <c r="HG134" s="222"/>
      <c r="HH134" s="218"/>
      <c r="HI134" s="219"/>
      <c r="HJ134" s="220"/>
      <c r="HK134" s="221"/>
      <c r="HL134" s="222"/>
      <c r="HM134" s="246"/>
      <c r="HN134" s="222"/>
      <c r="HO134" s="218"/>
      <c r="HP134" s="219"/>
      <c r="HQ134" s="220"/>
      <c r="HR134" s="221"/>
      <c r="HS134" s="222"/>
      <c r="HT134" s="246"/>
      <c r="HU134" s="222"/>
      <c r="HV134" s="218"/>
      <c r="HW134" s="219"/>
      <c r="HX134" s="220"/>
      <c r="HY134" s="221"/>
      <c r="HZ134" s="222"/>
      <c r="IA134" s="246"/>
      <c r="IB134" s="222"/>
      <c r="IC134" s="218"/>
      <c r="ID134" s="219"/>
      <c r="IE134" s="220"/>
      <c r="IF134" s="221"/>
      <c r="IG134" s="222"/>
      <c r="IH134" s="246"/>
      <c r="II134" s="222"/>
      <c r="IJ134" s="218"/>
      <c r="IK134" s="219"/>
      <c r="IL134" s="220"/>
      <c r="IM134" s="221"/>
    </row>
    <row r="135" spans="1:160" s="49" customFormat="1" ht="22.5">
      <c r="A135" s="223" t="str">
        <f aca="true" t="shared" si="6" ref="A135:A143">"CCU"&amp;B135</f>
        <v>CCU05.03.901</v>
      </c>
      <c r="B135" s="224" t="s">
        <v>459</v>
      </c>
      <c r="C135" s="30" t="s">
        <v>642</v>
      </c>
      <c r="D135" s="159" t="s">
        <v>251</v>
      </c>
      <c r="E135" s="225">
        <v>3</v>
      </c>
      <c r="F135" s="313">
        <f>VLOOKUP(A135,'CCU''s'!$A:$G,7,0)</f>
        <v>2017.04</v>
      </c>
      <c r="G135" s="226">
        <f aca="true" t="shared" si="7" ref="G135:G143">ROUND(E135*F135,2)</f>
        <v>6051.12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</row>
    <row r="136" spans="1:160" s="49" customFormat="1" ht="12.75">
      <c r="A136" s="223" t="str">
        <f t="shared" si="6"/>
        <v>CCU05.03.902</v>
      </c>
      <c r="B136" s="224" t="s">
        <v>460</v>
      </c>
      <c r="C136" s="30" t="s">
        <v>643</v>
      </c>
      <c r="D136" s="159" t="s">
        <v>251</v>
      </c>
      <c r="E136" s="225">
        <v>1</v>
      </c>
      <c r="F136" s="313">
        <f>VLOOKUP(A136,'CCU''s'!$A:$G,7,0)</f>
        <v>447.89</v>
      </c>
      <c r="G136" s="226">
        <f t="shared" si="7"/>
        <v>447.89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</row>
    <row r="137" spans="1:160" s="49" customFormat="1" ht="22.5">
      <c r="A137" s="223" t="str">
        <f t="shared" si="6"/>
        <v>CCU05.03.903</v>
      </c>
      <c r="B137" s="224" t="s">
        <v>469</v>
      </c>
      <c r="C137" s="30" t="s">
        <v>644</v>
      </c>
      <c r="D137" s="159" t="s">
        <v>251</v>
      </c>
      <c r="E137" s="225">
        <v>2</v>
      </c>
      <c r="F137" s="313">
        <f>VLOOKUP(A137,'CCU''s'!$A:$G,7,0)</f>
        <v>1812.44</v>
      </c>
      <c r="G137" s="226">
        <f t="shared" si="7"/>
        <v>3624.88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</row>
    <row r="138" spans="1:160" s="49" customFormat="1" ht="33.75">
      <c r="A138" s="223" t="str">
        <f t="shared" si="6"/>
        <v>CCU05.03.904</v>
      </c>
      <c r="B138" s="224" t="s">
        <v>461</v>
      </c>
      <c r="C138" s="30" t="s">
        <v>657</v>
      </c>
      <c r="D138" s="159" t="s">
        <v>251</v>
      </c>
      <c r="E138" s="225">
        <v>1</v>
      </c>
      <c r="F138" s="313">
        <f>VLOOKUP(A138,'CCU''s'!$A:$G,7,0)</f>
        <v>133.29000000000002</v>
      </c>
      <c r="G138" s="226">
        <f>ROUND(E138*F138,2)</f>
        <v>133.29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</row>
    <row r="139" spans="1:160" s="49" customFormat="1" ht="22.5">
      <c r="A139" s="223" t="str">
        <f t="shared" si="6"/>
        <v>CCU05.03.905</v>
      </c>
      <c r="B139" s="224" t="s">
        <v>462</v>
      </c>
      <c r="C139" s="30" t="s">
        <v>14</v>
      </c>
      <c r="D139" s="159" t="s">
        <v>251</v>
      </c>
      <c r="E139" s="225">
        <v>3</v>
      </c>
      <c r="F139" s="313">
        <f>VLOOKUP(A139,'CCU''s'!$A:$G,7,0)</f>
        <v>539.59</v>
      </c>
      <c r="G139" s="226">
        <f>ROUND(E139*F139,2)</f>
        <v>1618.77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</row>
    <row r="140" spans="1:160" s="49" customFormat="1" ht="22.5">
      <c r="A140" s="223">
        <v>90439</v>
      </c>
      <c r="B140" s="224" t="s">
        <v>463</v>
      </c>
      <c r="C140" s="30" t="str">
        <f>VLOOKUP(A140,Insumos!$A:$D,2,0)</f>
        <v>Furo em concreto para diâmetros menores ou iguais a 40mm. AF_05/2015</v>
      </c>
      <c r="D140" s="159" t="str">
        <f>VLOOKUP(A140,Insumos!$A:$D,3,0)</f>
        <v>un</v>
      </c>
      <c r="E140" s="225">
        <v>1</v>
      </c>
      <c r="F140" s="313">
        <f>VLOOKUP(A140,Insumos!$A:$D,4,0)</f>
        <v>49.34</v>
      </c>
      <c r="G140" s="226">
        <f>ROUND(E140*F140,2)</f>
        <v>49.34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</row>
    <row r="141" spans="1:160" s="49" customFormat="1" ht="22.5">
      <c r="A141" s="223">
        <v>90440</v>
      </c>
      <c r="B141" s="224" t="s">
        <v>476</v>
      </c>
      <c r="C141" s="30" t="str">
        <f>VLOOKUP(A141,Insumos!$A:$D,2,0)</f>
        <v>Furo em concreto para diâmetros maiores que 40mm e menores ou iguais a 75mm. AF_05/2015</v>
      </c>
      <c r="D141" s="159" t="str">
        <f>VLOOKUP(A141,Insumos!$A:$D,3,0)</f>
        <v>un</v>
      </c>
      <c r="E141" s="225">
        <v>3</v>
      </c>
      <c r="F141" s="313">
        <f>VLOOKUP(A141,Insumos!$A:$D,4,0)</f>
        <v>79.02</v>
      </c>
      <c r="G141" s="226">
        <f>ROUND(E141*F141,2)</f>
        <v>237.06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</row>
    <row r="142" spans="1:160" s="49" customFormat="1" ht="22.5">
      <c r="A142" s="223">
        <v>90441</v>
      </c>
      <c r="B142" s="224" t="s">
        <v>151</v>
      </c>
      <c r="C142" s="30" t="str">
        <f>VLOOKUP(A142,Insumos!$A:$D,2,0)</f>
        <v>Furo em concreto para diâmetros maiores que 75mm. AF_05/2015</v>
      </c>
      <c r="D142" s="159" t="str">
        <f>VLOOKUP(A142,Insumos!$A:$D,3,0)</f>
        <v>un</v>
      </c>
      <c r="E142" s="225">
        <v>1</v>
      </c>
      <c r="F142" s="313">
        <f>VLOOKUP(A142,Insumos!$A:$D,4,0)</f>
        <v>100.93</v>
      </c>
      <c r="G142" s="226">
        <f>ROUND(E142*F142,2)</f>
        <v>100.93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</row>
    <row r="143" spans="1:160" s="49" customFormat="1" ht="22.5">
      <c r="A143" s="223" t="str">
        <f t="shared" si="6"/>
        <v>CCU05.03.909</v>
      </c>
      <c r="B143" s="224" t="s">
        <v>551</v>
      </c>
      <c r="C143" s="30" t="s">
        <v>557</v>
      </c>
      <c r="D143" s="159" t="s">
        <v>251</v>
      </c>
      <c r="E143" s="225">
        <v>1</v>
      </c>
      <c r="F143" s="313">
        <f>VLOOKUP(A143,'CCU''s'!$A:$G,7,0)</f>
        <v>101.53</v>
      </c>
      <c r="G143" s="226">
        <f t="shared" si="7"/>
        <v>101.53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</row>
    <row r="144" spans="1:160" s="49" customFormat="1" ht="45">
      <c r="A144" s="223">
        <v>91187</v>
      </c>
      <c r="B144" s="224" t="s">
        <v>554</v>
      </c>
      <c r="C144" s="30" t="str">
        <f>VLOOKUP(A144,Insumos!$A:$D,2,0)</f>
        <v>Fixação de tubos horizontais de PVC, CPVC ou cobre diâmetros maiores que 75mm com abraçadeira metálica flexível 18mm, fixada diretamente na laje. AF_05/2015</v>
      </c>
      <c r="D144" s="159" t="str">
        <f>VLOOKUP(A144,Insumos!$A:$D,3,0)</f>
        <v>m</v>
      </c>
      <c r="E144" s="225">
        <v>84</v>
      </c>
      <c r="F144" s="313">
        <f>VLOOKUP(A144,Insumos!$A:$D,4,0)</f>
        <v>5.38</v>
      </c>
      <c r="G144" s="226">
        <f>ROUND(E144*F144,2)</f>
        <v>451.92</v>
      </c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</row>
    <row r="145" spans="1:160" s="49" customFormat="1" ht="45">
      <c r="A145" s="223">
        <v>91186</v>
      </c>
      <c r="B145" s="224" t="s">
        <v>555</v>
      </c>
      <c r="C145" s="30" t="str">
        <f>VLOOKUP(A145,Insumos!$A:$D,2,0)</f>
        <v>Fixação de tubos horizontais de PVC, CPVC ou cobre diâmetros maiores que 40mm e menores ou iguais a 75mm com abraçadeira metálica flexível 18mm, fixada diretamente na laje. AF_05/2015</v>
      </c>
      <c r="D145" s="159" t="str">
        <f>VLOOKUP(A145,Insumos!$A:$D,3,0)</f>
        <v>m</v>
      </c>
      <c r="E145" s="225">
        <v>122</v>
      </c>
      <c r="F145" s="313">
        <f>VLOOKUP(A145,Insumos!$A:$D,4,0)</f>
        <v>4.66</v>
      </c>
      <c r="G145" s="226">
        <f>ROUND(E145*F145,2)</f>
        <v>568.52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</row>
    <row r="146" spans="1:160" s="49" customFormat="1" ht="45">
      <c r="A146" s="223">
        <v>91185</v>
      </c>
      <c r="B146" s="224" t="s">
        <v>556</v>
      </c>
      <c r="C146" s="30" t="str">
        <f>VLOOKUP(A146,Insumos!$A:$D,2,0)</f>
        <v>Fixação de tubos horizontais de PVC, CPVC ou cobre diâmetros menores ou iguais a 40mm com abraçadeira metálica flexível 18mm, fixada diretamente na laje. AF_05/2015</v>
      </c>
      <c r="D146" s="159" t="str">
        <f>VLOOKUP(A146,Insumos!$A:$D,3,0)</f>
        <v>m</v>
      </c>
      <c r="E146" s="225">
        <v>61</v>
      </c>
      <c r="F146" s="313">
        <f>VLOOKUP(A146,Insumos!$A:$D,4,0)</f>
        <v>5.7</v>
      </c>
      <c r="G146" s="226">
        <f>ROUND(E146*F146,2)</f>
        <v>347.7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</row>
    <row r="147" spans="1:160" s="49" customFormat="1" ht="22.5">
      <c r="A147" s="223" t="str">
        <f>"CCU"&amp;B147</f>
        <v>CCU05.03.913</v>
      </c>
      <c r="B147" s="224" t="s">
        <v>659</v>
      </c>
      <c r="C147" s="30" t="s">
        <v>13</v>
      </c>
      <c r="D147" s="159" t="s">
        <v>251</v>
      </c>
      <c r="E147" s="225">
        <v>1</v>
      </c>
      <c r="F147" s="313">
        <f>VLOOKUP(A147,'CCU''s'!$A:$G,7,0)</f>
        <v>207.73</v>
      </c>
      <c r="G147" s="226">
        <f>ROUND(E147*F147,2)</f>
        <v>207.73</v>
      </c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</row>
    <row r="148" spans="1:160" s="49" customFormat="1" ht="12.75">
      <c r="A148" s="223"/>
      <c r="B148" s="230" t="s">
        <v>464</v>
      </c>
      <c r="C148" s="231" t="s">
        <v>418</v>
      </c>
      <c r="D148" s="232"/>
      <c r="E148" s="225"/>
      <c r="F148" s="196"/>
      <c r="G148" s="222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</row>
    <row r="149" spans="1:160" s="49" customFormat="1" ht="12.75">
      <c r="A149" s="272"/>
      <c r="B149" s="273" t="s">
        <v>543</v>
      </c>
      <c r="C149" s="274" t="s">
        <v>544</v>
      </c>
      <c r="D149" s="275"/>
      <c r="E149" s="276"/>
      <c r="F149" s="277"/>
      <c r="G149" s="217">
        <f>SUM(G150:G152)</f>
        <v>2612.01</v>
      </c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</row>
    <row r="150" spans="1:160" s="49" customFormat="1" ht="22.5">
      <c r="A150" s="223">
        <v>93358</v>
      </c>
      <c r="B150" s="224" t="s">
        <v>545</v>
      </c>
      <c r="C150" s="30" t="str">
        <f>VLOOKUP(A150,Insumos!$A:$D,2,0)</f>
        <v>Escavação manual de vala com profundidade menor ou igual a 1,30 m</v>
      </c>
      <c r="D150" s="159" t="str">
        <f>VLOOKUP(A150,Insumos!$A:$D,3,0)</f>
        <v>m³</v>
      </c>
      <c r="E150" s="225">
        <v>23</v>
      </c>
      <c r="F150" s="313">
        <f>VLOOKUP(A150,Insumos!$A:$D,4,0)</f>
        <v>62.46</v>
      </c>
      <c r="G150" s="226">
        <f>ROUND(E150*F150,2)</f>
        <v>1436.58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</row>
    <row r="151" spans="1:160" s="49" customFormat="1" ht="22.5">
      <c r="A151" s="223" t="str">
        <f>"CCU"&amp;B151</f>
        <v>CCU05.06.102</v>
      </c>
      <c r="B151" s="224" t="s">
        <v>546</v>
      </c>
      <c r="C151" s="30" t="s">
        <v>563</v>
      </c>
      <c r="D151" s="159" t="s">
        <v>246</v>
      </c>
      <c r="E151" s="225">
        <v>1</v>
      </c>
      <c r="F151" s="313">
        <f>VLOOKUP(A151,'CCU''s'!$A:$G,7,0)</f>
        <v>957.6299999999999</v>
      </c>
      <c r="G151" s="226">
        <f>ROUND(E151*F151,2)</f>
        <v>957.63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</row>
    <row r="152" spans="1:160" s="49" customFormat="1" ht="22.5">
      <c r="A152" s="223">
        <v>93382</v>
      </c>
      <c r="B152" s="224" t="s">
        <v>562</v>
      </c>
      <c r="C152" s="30" t="str">
        <f>VLOOKUP(A152,Insumos!$A:$D,2,0)</f>
        <v>Reaterro manual de valas com compactação mecanizada. Af_04/2016</v>
      </c>
      <c r="D152" s="159" t="str">
        <f>VLOOKUP(A152,Insumos!$A:$D,3,0)</f>
        <v>m³</v>
      </c>
      <c r="E152" s="225">
        <v>10</v>
      </c>
      <c r="F152" s="313">
        <f>VLOOKUP(A152,Insumos!$A:$D,4,0)</f>
        <v>21.78</v>
      </c>
      <c r="G152" s="226">
        <f>ROUND(E152*F152,2)</f>
        <v>217.8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</row>
    <row r="153" spans="1:247" ht="12.75">
      <c r="A153" s="213"/>
      <c r="B153" s="214" t="s">
        <v>465</v>
      </c>
      <c r="C153" s="215" t="s">
        <v>466</v>
      </c>
      <c r="D153" s="216"/>
      <c r="E153" s="217"/>
      <c r="F153" s="245"/>
      <c r="G153" s="217">
        <f>SUM(G154:G154)</f>
        <v>2909.66</v>
      </c>
      <c r="H153" s="220"/>
      <c r="I153" s="221"/>
      <c r="J153" s="222"/>
      <c r="K153" s="246"/>
      <c r="L153" s="222"/>
      <c r="M153" s="218"/>
      <c r="N153" s="219"/>
      <c r="O153" s="220"/>
      <c r="P153" s="221"/>
      <c r="Q153" s="222"/>
      <c r="R153" s="246"/>
      <c r="S153" s="222"/>
      <c r="T153" s="218"/>
      <c r="U153" s="219"/>
      <c r="V153" s="220"/>
      <c r="W153" s="221"/>
      <c r="X153" s="222"/>
      <c r="Y153" s="246"/>
      <c r="Z153" s="222"/>
      <c r="AA153" s="218"/>
      <c r="AB153" s="219"/>
      <c r="AC153" s="220"/>
      <c r="AD153" s="221"/>
      <c r="AE153" s="222"/>
      <c r="AF153" s="246"/>
      <c r="AG153" s="222"/>
      <c r="AH153" s="218"/>
      <c r="AI153" s="219"/>
      <c r="AJ153" s="220"/>
      <c r="AK153" s="221"/>
      <c r="AL153" s="222"/>
      <c r="AM153" s="246"/>
      <c r="AN153" s="222"/>
      <c r="AO153" s="218"/>
      <c r="AP153" s="219"/>
      <c r="AQ153" s="220"/>
      <c r="AR153" s="221"/>
      <c r="AS153" s="222"/>
      <c r="AT153" s="246"/>
      <c r="AU153" s="222"/>
      <c r="AV153" s="218"/>
      <c r="AW153" s="219"/>
      <c r="AX153" s="220"/>
      <c r="AY153" s="221"/>
      <c r="AZ153" s="222"/>
      <c r="BA153" s="246"/>
      <c r="BB153" s="222"/>
      <c r="BC153" s="218"/>
      <c r="BD153" s="219"/>
      <c r="BE153" s="220"/>
      <c r="BF153" s="221"/>
      <c r="BG153" s="222"/>
      <c r="BH153" s="246"/>
      <c r="BI153" s="222"/>
      <c r="BJ153" s="218"/>
      <c r="BK153" s="219"/>
      <c r="BL153" s="220"/>
      <c r="BM153" s="221"/>
      <c r="BN153" s="222"/>
      <c r="BO153" s="246"/>
      <c r="BP153" s="222"/>
      <c r="BQ153" s="218"/>
      <c r="BR153" s="219"/>
      <c r="BS153" s="220"/>
      <c r="BT153" s="221"/>
      <c r="BU153" s="222"/>
      <c r="BV153" s="246"/>
      <c r="BW153" s="222"/>
      <c r="BX153" s="218"/>
      <c r="BY153" s="219"/>
      <c r="BZ153" s="220"/>
      <c r="CA153" s="221"/>
      <c r="CB153" s="222"/>
      <c r="CC153" s="246"/>
      <c r="CD153" s="222"/>
      <c r="CE153" s="218"/>
      <c r="CF153" s="219"/>
      <c r="CG153" s="220"/>
      <c r="CH153" s="221"/>
      <c r="CI153" s="222"/>
      <c r="CJ153" s="246"/>
      <c r="CK153" s="222"/>
      <c r="CL153" s="218"/>
      <c r="CM153" s="219"/>
      <c r="CN153" s="220"/>
      <c r="CO153" s="221"/>
      <c r="CP153" s="222"/>
      <c r="CQ153" s="246"/>
      <c r="CR153" s="222"/>
      <c r="CS153" s="218"/>
      <c r="CT153" s="219"/>
      <c r="CU153" s="220"/>
      <c r="CV153" s="221"/>
      <c r="CW153" s="222"/>
      <c r="CX153" s="246"/>
      <c r="CY153" s="222"/>
      <c r="CZ153" s="218"/>
      <c r="DA153" s="219"/>
      <c r="DB153" s="220"/>
      <c r="DC153" s="221"/>
      <c r="DD153" s="222"/>
      <c r="DE153" s="246"/>
      <c r="DF153" s="222"/>
      <c r="DG153" s="218"/>
      <c r="DH153" s="219"/>
      <c r="DI153" s="220"/>
      <c r="DJ153" s="221"/>
      <c r="DK153" s="222"/>
      <c r="DL153" s="246"/>
      <c r="DM153" s="222"/>
      <c r="DN153" s="218"/>
      <c r="DO153" s="219"/>
      <c r="DP153" s="220"/>
      <c r="DQ153" s="221"/>
      <c r="DR153" s="222"/>
      <c r="DS153" s="246"/>
      <c r="DT153" s="222"/>
      <c r="DU153" s="218"/>
      <c r="DV153" s="219"/>
      <c r="DW153" s="220"/>
      <c r="DX153" s="221"/>
      <c r="DY153" s="222"/>
      <c r="DZ153" s="246"/>
      <c r="EA153" s="222"/>
      <c r="EB153" s="218"/>
      <c r="EC153" s="219"/>
      <c r="ED153" s="220"/>
      <c r="EE153" s="221"/>
      <c r="EF153" s="222"/>
      <c r="EG153" s="246"/>
      <c r="EH153" s="222"/>
      <c r="EI153" s="218"/>
      <c r="EJ153" s="219"/>
      <c r="EK153" s="220"/>
      <c r="EL153" s="221"/>
      <c r="EM153" s="222"/>
      <c r="EN153" s="246"/>
      <c r="EO153" s="222"/>
      <c r="EP153" s="218"/>
      <c r="EQ153" s="219"/>
      <c r="ER153" s="220"/>
      <c r="ES153" s="221"/>
      <c r="ET153" s="222"/>
      <c r="EU153" s="246"/>
      <c r="EV153" s="222"/>
      <c r="EW153" s="218"/>
      <c r="EX153" s="219"/>
      <c r="EY153" s="220"/>
      <c r="EZ153" s="221"/>
      <c r="FA153" s="222"/>
      <c r="FB153" s="246"/>
      <c r="FC153" s="222"/>
      <c r="FD153" s="218"/>
      <c r="FE153" s="219"/>
      <c r="FF153" s="220"/>
      <c r="FG153" s="221"/>
      <c r="FH153" s="222"/>
      <c r="FI153" s="246"/>
      <c r="FJ153" s="222"/>
      <c r="FK153" s="218"/>
      <c r="FL153" s="219"/>
      <c r="FM153" s="220"/>
      <c r="FN153" s="221"/>
      <c r="FO153" s="222"/>
      <c r="FP153" s="246"/>
      <c r="FQ153" s="222"/>
      <c r="FR153" s="218"/>
      <c r="FS153" s="219"/>
      <c r="FT153" s="220"/>
      <c r="FU153" s="221"/>
      <c r="FV153" s="222"/>
      <c r="FW153" s="246"/>
      <c r="FX153" s="222"/>
      <c r="FY153" s="218"/>
      <c r="FZ153" s="219"/>
      <c r="GA153" s="220"/>
      <c r="GB153" s="221"/>
      <c r="GC153" s="222"/>
      <c r="GD153" s="246"/>
      <c r="GE153" s="222"/>
      <c r="GF153" s="218"/>
      <c r="GG153" s="219"/>
      <c r="GH153" s="220"/>
      <c r="GI153" s="221"/>
      <c r="GJ153" s="222"/>
      <c r="GK153" s="246"/>
      <c r="GL153" s="222"/>
      <c r="GM153" s="218"/>
      <c r="GN153" s="219"/>
      <c r="GO153" s="220"/>
      <c r="GP153" s="221"/>
      <c r="GQ153" s="222"/>
      <c r="GR153" s="246"/>
      <c r="GS153" s="222"/>
      <c r="GT153" s="218"/>
      <c r="GU153" s="219"/>
      <c r="GV153" s="220"/>
      <c r="GW153" s="221"/>
      <c r="GX153" s="222"/>
      <c r="GY153" s="246"/>
      <c r="GZ153" s="222"/>
      <c r="HA153" s="218"/>
      <c r="HB153" s="219"/>
      <c r="HC153" s="220"/>
      <c r="HD153" s="221"/>
      <c r="HE153" s="222"/>
      <c r="HF153" s="246"/>
      <c r="HG153" s="222"/>
      <c r="HH153" s="218"/>
      <c r="HI153" s="219"/>
      <c r="HJ153" s="220"/>
      <c r="HK153" s="221"/>
      <c r="HL153" s="222"/>
      <c r="HM153" s="246"/>
      <c r="HN153" s="222"/>
      <c r="HO153" s="218"/>
      <c r="HP153" s="219"/>
      <c r="HQ153" s="220"/>
      <c r="HR153" s="221"/>
      <c r="HS153" s="222"/>
      <c r="HT153" s="246"/>
      <c r="HU153" s="222"/>
      <c r="HV153" s="218"/>
      <c r="HW153" s="219"/>
      <c r="HX153" s="220"/>
      <c r="HY153" s="221"/>
      <c r="HZ153" s="222"/>
      <c r="IA153" s="246"/>
      <c r="IB153" s="222"/>
      <c r="IC153" s="218"/>
      <c r="ID153" s="219"/>
      <c r="IE153" s="220"/>
      <c r="IF153" s="221"/>
      <c r="IG153" s="222"/>
      <c r="IH153" s="246"/>
      <c r="II153" s="222"/>
      <c r="IJ153" s="218"/>
      <c r="IK153" s="219"/>
      <c r="IL153" s="220"/>
      <c r="IM153" s="221"/>
    </row>
    <row r="154" spans="1:160" s="49" customFormat="1" ht="33.75">
      <c r="A154" s="223" t="str">
        <f>"CCU"&amp;B154</f>
        <v>CCU05.06.201</v>
      </c>
      <c r="B154" s="224" t="s">
        <v>467</v>
      </c>
      <c r="C154" s="30" t="s">
        <v>472</v>
      </c>
      <c r="D154" s="159" t="s">
        <v>250</v>
      </c>
      <c r="E154" s="225">
        <v>13</v>
      </c>
      <c r="F154" s="313">
        <f>VLOOKUP(A154,'CCU''s'!$A:$G,7,0)</f>
        <v>223.82</v>
      </c>
      <c r="G154" s="226">
        <f>ROUND(E154*F154,2)</f>
        <v>2909.66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</row>
    <row r="155" spans="1:160" s="49" customFormat="1" ht="12.75">
      <c r="A155" s="239"/>
      <c r="B155" s="204" t="s">
        <v>158</v>
      </c>
      <c r="C155" s="240" t="s">
        <v>159</v>
      </c>
      <c r="D155" s="241"/>
      <c r="E155" s="207"/>
      <c r="F155" s="57"/>
      <c r="G155" s="207">
        <f>SUM(G156:G168)/2</f>
        <v>17635.460000000003</v>
      </c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</row>
    <row r="156" spans="1:160" s="49" customFormat="1" ht="12.75">
      <c r="A156" s="223"/>
      <c r="B156" s="230" t="s">
        <v>160</v>
      </c>
      <c r="C156" s="231" t="s">
        <v>161</v>
      </c>
      <c r="D156" s="232"/>
      <c r="E156" s="225"/>
      <c r="F156" s="196"/>
      <c r="G156" s="222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</row>
    <row r="157" spans="1:247" ht="12.75">
      <c r="A157" s="213"/>
      <c r="B157" s="214" t="s">
        <v>162</v>
      </c>
      <c r="C157" s="215" t="s">
        <v>163</v>
      </c>
      <c r="D157" s="216"/>
      <c r="E157" s="217"/>
      <c r="F157" s="245"/>
      <c r="G157" s="217">
        <f>SUM(G158:G168)</f>
        <v>17635.460000000003</v>
      </c>
      <c r="H157" s="220"/>
      <c r="I157" s="221"/>
      <c r="J157" s="222"/>
      <c r="K157" s="246"/>
      <c r="L157" s="222"/>
      <c r="M157" s="218"/>
      <c r="N157" s="219"/>
      <c r="O157" s="220"/>
      <c r="P157" s="221"/>
      <c r="Q157" s="222"/>
      <c r="R157" s="246"/>
      <c r="S157" s="222"/>
      <c r="T157" s="218"/>
      <c r="U157" s="219"/>
      <c r="V157" s="220"/>
      <c r="W157" s="221"/>
      <c r="X157" s="222"/>
      <c r="Y157" s="246"/>
      <c r="Z157" s="222"/>
      <c r="AA157" s="218"/>
      <c r="AB157" s="219"/>
      <c r="AC157" s="220"/>
      <c r="AD157" s="221"/>
      <c r="AE157" s="222"/>
      <c r="AF157" s="246"/>
      <c r="AG157" s="222"/>
      <c r="AH157" s="218"/>
      <c r="AI157" s="219"/>
      <c r="AJ157" s="220"/>
      <c r="AK157" s="221"/>
      <c r="AL157" s="222"/>
      <c r="AM157" s="246"/>
      <c r="AN157" s="222"/>
      <c r="AO157" s="218"/>
      <c r="AP157" s="219"/>
      <c r="AQ157" s="220"/>
      <c r="AR157" s="221"/>
      <c r="AS157" s="222"/>
      <c r="AT157" s="246"/>
      <c r="AU157" s="222"/>
      <c r="AV157" s="218"/>
      <c r="AW157" s="219"/>
      <c r="AX157" s="220"/>
      <c r="AY157" s="221"/>
      <c r="AZ157" s="222"/>
      <c r="BA157" s="246"/>
      <c r="BB157" s="222"/>
      <c r="BC157" s="218"/>
      <c r="BD157" s="219"/>
      <c r="BE157" s="220"/>
      <c r="BF157" s="221"/>
      <c r="BG157" s="222"/>
      <c r="BH157" s="246"/>
      <c r="BI157" s="222"/>
      <c r="BJ157" s="218"/>
      <c r="BK157" s="219"/>
      <c r="BL157" s="220"/>
      <c r="BM157" s="221"/>
      <c r="BN157" s="222"/>
      <c r="BO157" s="246"/>
      <c r="BP157" s="222"/>
      <c r="BQ157" s="218"/>
      <c r="BR157" s="219"/>
      <c r="BS157" s="220"/>
      <c r="BT157" s="221"/>
      <c r="BU157" s="222"/>
      <c r="BV157" s="246"/>
      <c r="BW157" s="222"/>
      <c r="BX157" s="218"/>
      <c r="BY157" s="219"/>
      <c r="BZ157" s="220"/>
      <c r="CA157" s="221"/>
      <c r="CB157" s="222"/>
      <c r="CC157" s="246"/>
      <c r="CD157" s="222"/>
      <c r="CE157" s="218"/>
      <c r="CF157" s="219"/>
      <c r="CG157" s="220"/>
      <c r="CH157" s="221"/>
      <c r="CI157" s="222"/>
      <c r="CJ157" s="246"/>
      <c r="CK157" s="222"/>
      <c r="CL157" s="218"/>
      <c r="CM157" s="219"/>
      <c r="CN157" s="220"/>
      <c r="CO157" s="221"/>
      <c r="CP157" s="222"/>
      <c r="CQ157" s="246"/>
      <c r="CR157" s="222"/>
      <c r="CS157" s="218"/>
      <c r="CT157" s="219"/>
      <c r="CU157" s="220"/>
      <c r="CV157" s="221"/>
      <c r="CW157" s="222"/>
      <c r="CX157" s="246"/>
      <c r="CY157" s="222"/>
      <c r="CZ157" s="218"/>
      <c r="DA157" s="219"/>
      <c r="DB157" s="220"/>
      <c r="DC157" s="221"/>
      <c r="DD157" s="222"/>
      <c r="DE157" s="246"/>
      <c r="DF157" s="222"/>
      <c r="DG157" s="218"/>
      <c r="DH157" s="219"/>
      <c r="DI157" s="220"/>
      <c r="DJ157" s="221"/>
      <c r="DK157" s="222"/>
      <c r="DL157" s="246"/>
      <c r="DM157" s="222"/>
      <c r="DN157" s="218"/>
      <c r="DO157" s="219"/>
      <c r="DP157" s="220"/>
      <c r="DQ157" s="221"/>
      <c r="DR157" s="222"/>
      <c r="DS157" s="246"/>
      <c r="DT157" s="222"/>
      <c r="DU157" s="218"/>
      <c r="DV157" s="219"/>
      <c r="DW157" s="220"/>
      <c r="DX157" s="221"/>
      <c r="DY157" s="222"/>
      <c r="DZ157" s="246"/>
      <c r="EA157" s="222"/>
      <c r="EB157" s="218"/>
      <c r="EC157" s="219"/>
      <c r="ED157" s="220"/>
      <c r="EE157" s="221"/>
      <c r="EF157" s="222"/>
      <c r="EG157" s="246"/>
      <c r="EH157" s="222"/>
      <c r="EI157" s="218"/>
      <c r="EJ157" s="219"/>
      <c r="EK157" s="220"/>
      <c r="EL157" s="221"/>
      <c r="EM157" s="222"/>
      <c r="EN157" s="246"/>
      <c r="EO157" s="222"/>
      <c r="EP157" s="218"/>
      <c r="EQ157" s="219"/>
      <c r="ER157" s="220"/>
      <c r="ES157" s="221"/>
      <c r="ET157" s="222"/>
      <c r="EU157" s="246"/>
      <c r="EV157" s="222"/>
      <c r="EW157" s="218"/>
      <c r="EX157" s="219"/>
      <c r="EY157" s="220"/>
      <c r="EZ157" s="221"/>
      <c r="FA157" s="222"/>
      <c r="FB157" s="246"/>
      <c r="FC157" s="222"/>
      <c r="FD157" s="218"/>
      <c r="FE157" s="219"/>
      <c r="FF157" s="220"/>
      <c r="FG157" s="221"/>
      <c r="FH157" s="222"/>
      <c r="FI157" s="246"/>
      <c r="FJ157" s="222"/>
      <c r="FK157" s="218"/>
      <c r="FL157" s="219"/>
      <c r="FM157" s="220"/>
      <c r="FN157" s="221"/>
      <c r="FO157" s="222"/>
      <c r="FP157" s="246"/>
      <c r="FQ157" s="222"/>
      <c r="FR157" s="218"/>
      <c r="FS157" s="219"/>
      <c r="FT157" s="220"/>
      <c r="FU157" s="221"/>
      <c r="FV157" s="222"/>
      <c r="FW157" s="246"/>
      <c r="FX157" s="222"/>
      <c r="FY157" s="218"/>
      <c r="FZ157" s="219"/>
      <c r="GA157" s="220"/>
      <c r="GB157" s="221"/>
      <c r="GC157" s="222"/>
      <c r="GD157" s="246"/>
      <c r="GE157" s="222"/>
      <c r="GF157" s="218"/>
      <c r="GG157" s="219"/>
      <c r="GH157" s="220"/>
      <c r="GI157" s="221"/>
      <c r="GJ157" s="222"/>
      <c r="GK157" s="246"/>
      <c r="GL157" s="222"/>
      <c r="GM157" s="218"/>
      <c r="GN157" s="219"/>
      <c r="GO157" s="220"/>
      <c r="GP157" s="221"/>
      <c r="GQ157" s="222"/>
      <c r="GR157" s="246"/>
      <c r="GS157" s="222"/>
      <c r="GT157" s="218"/>
      <c r="GU157" s="219"/>
      <c r="GV157" s="220"/>
      <c r="GW157" s="221"/>
      <c r="GX157" s="222"/>
      <c r="GY157" s="246"/>
      <c r="GZ157" s="222"/>
      <c r="HA157" s="218"/>
      <c r="HB157" s="219"/>
      <c r="HC157" s="220"/>
      <c r="HD157" s="221"/>
      <c r="HE157" s="222"/>
      <c r="HF157" s="246"/>
      <c r="HG157" s="222"/>
      <c r="HH157" s="218"/>
      <c r="HI157" s="219"/>
      <c r="HJ157" s="220"/>
      <c r="HK157" s="221"/>
      <c r="HL157" s="222"/>
      <c r="HM157" s="246"/>
      <c r="HN157" s="222"/>
      <c r="HO157" s="218"/>
      <c r="HP157" s="219"/>
      <c r="HQ157" s="220"/>
      <c r="HR157" s="221"/>
      <c r="HS157" s="222"/>
      <c r="HT157" s="246"/>
      <c r="HU157" s="222"/>
      <c r="HV157" s="218"/>
      <c r="HW157" s="219"/>
      <c r="HX157" s="220"/>
      <c r="HY157" s="221"/>
      <c r="HZ157" s="222"/>
      <c r="IA157" s="246"/>
      <c r="IB157" s="222"/>
      <c r="IC157" s="218"/>
      <c r="ID157" s="219"/>
      <c r="IE157" s="220"/>
      <c r="IF157" s="221"/>
      <c r="IG157" s="222"/>
      <c r="IH157" s="246"/>
      <c r="II157" s="222"/>
      <c r="IJ157" s="218"/>
      <c r="IK157" s="219"/>
      <c r="IL157" s="220"/>
      <c r="IM157" s="221"/>
    </row>
    <row r="158" spans="1:247" ht="22.5">
      <c r="A158" s="223" t="str">
        <f aca="true" t="shared" si="8" ref="A158:A163">"CCU"&amp;B158</f>
        <v>CCU06.01.401</v>
      </c>
      <c r="B158" s="224" t="s">
        <v>165</v>
      </c>
      <c r="C158" s="30" t="s">
        <v>412</v>
      </c>
      <c r="D158" s="159" t="s">
        <v>251</v>
      </c>
      <c r="E158" s="225">
        <v>1</v>
      </c>
      <c r="F158" s="313">
        <f>VLOOKUP(A158,'CCU''s'!$A:$G,7,0)</f>
        <v>1950</v>
      </c>
      <c r="G158" s="226">
        <f>ROUND(E158*F158,2)</f>
        <v>1950</v>
      </c>
      <c r="H158" s="267"/>
      <c r="I158" s="268"/>
      <c r="J158" s="264"/>
      <c r="K158" s="269"/>
      <c r="L158" s="264"/>
      <c r="M158" s="265"/>
      <c r="N158" s="266"/>
      <c r="O158" s="267"/>
      <c r="P158" s="268"/>
      <c r="Q158" s="264"/>
      <c r="R158" s="269"/>
      <c r="S158" s="264"/>
      <c r="T158" s="265"/>
      <c r="U158" s="266"/>
      <c r="V158" s="267"/>
      <c r="W158" s="268"/>
      <c r="X158" s="264"/>
      <c r="Y158" s="269"/>
      <c r="Z158" s="264"/>
      <c r="AA158" s="265"/>
      <c r="AB158" s="266"/>
      <c r="AC158" s="267"/>
      <c r="AD158" s="268"/>
      <c r="AE158" s="264"/>
      <c r="AF158" s="269"/>
      <c r="AG158" s="264"/>
      <c r="AH158" s="265"/>
      <c r="AI158" s="266"/>
      <c r="AJ158" s="267"/>
      <c r="AK158" s="268"/>
      <c r="AL158" s="264"/>
      <c r="AM158" s="269"/>
      <c r="AN158" s="264"/>
      <c r="AO158" s="265"/>
      <c r="AP158" s="266"/>
      <c r="AQ158" s="267"/>
      <c r="AR158" s="268"/>
      <c r="AS158" s="264"/>
      <c r="AT158" s="269"/>
      <c r="AU158" s="264"/>
      <c r="AV158" s="265"/>
      <c r="AW158" s="266"/>
      <c r="AX158" s="267"/>
      <c r="AY158" s="268"/>
      <c r="AZ158" s="264"/>
      <c r="BA158" s="269"/>
      <c r="BB158" s="264"/>
      <c r="BC158" s="265"/>
      <c r="BD158" s="266"/>
      <c r="BE158" s="267"/>
      <c r="BF158" s="268"/>
      <c r="BG158" s="264"/>
      <c r="BH158" s="269"/>
      <c r="BI158" s="264"/>
      <c r="BJ158" s="265"/>
      <c r="BK158" s="266"/>
      <c r="BL158" s="267"/>
      <c r="BM158" s="268"/>
      <c r="BN158" s="264"/>
      <c r="BO158" s="269"/>
      <c r="BP158" s="264"/>
      <c r="BQ158" s="265"/>
      <c r="BR158" s="266"/>
      <c r="BS158" s="267"/>
      <c r="BT158" s="268"/>
      <c r="BU158" s="264"/>
      <c r="BV158" s="269"/>
      <c r="BW158" s="264"/>
      <c r="BX158" s="265"/>
      <c r="BY158" s="266"/>
      <c r="BZ158" s="267"/>
      <c r="CA158" s="268"/>
      <c r="CB158" s="264"/>
      <c r="CC158" s="269"/>
      <c r="CD158" s="264"/>
      <c r="CE158" s="265"/>
      <c r="CF158" s="266"/>
      <c r="CG158" s="267"/>
      <c r="CH158" s="268"/>
      <c r="CI158" s="264"/>
      <c r="CJ158" s="269"/>
      <c r="CK158" s="264"/>
      <c r="CL158" s="265"/>
      <c r="CM158" s="266"/>
      <c r="CN158" s="267"/>
      <c r="CO158" s="268"/>
      <c r="CP158" s="264"/>
      <c r="CQ158" s="269"/>
      <c r="CR158" s="264"/>
      <c r="CS158" s="265"/>
      <c r="CT158" s="266"/>
      <c r="CU158" s="267"/>
      <c r="CV158" s="268"/>
      <c r="CW158" s="264"/>
      <c r="CX158" s="269"/>
      <c r="CY158" s="264"/>
      <c r="CZ158" s="265"/>
      <c r="DA158" s="266"/>
      <c r="DB158" s="267"/>
      <c r="DC158" s="268"/>
      <c r="DD158" s="264"/>
      <c r="DE158" s="269"/>
      <c r="DF158" s="264"/>
      <c r="DG158" s="265"/>
      <c r="DH158" s="266"/>
      <c r="DI158" s="267"/>
      <c r="DJ158" s="268"/>
      <c r="DK158" s="264"/>
      <c r="DL158" s="269"/>
      <c r="DM158" s="264"/>
      <c r="DN158" s="265"/>
      <c r="DO158" s="266"/>
      <c r="DP158" s="267"/>
      <c r="DQ158" s="268"/>
      <c r="DR158" s="264"/>
      <c r="DS158" s="269"/>
      <c r="DT158" s="264"/>
      <c r="DU158" s="265"/>
      <c r="DV158" s="266"/>
      <c r="DW158" s="267"/>
      <c r="DX158" s="268"/>
      <c r="DY158" s="264"/>
      <c r="DZ158" s="269"/>
      <c r="EA158" s="264"/>
      <c r="EB158" s="265"/>
      <c r="EC158" s="266"/>
      <c r="ED158" s="267"/>
      <c r="EE158" s="268"/>
      <c r="EF158" s="264"/>
      <c r="EG158" s="269"/>
      <c r="EH158" s="264"/>
      <c r="EI158" s="265"/>
      <c r="EJ158" s="266"/>
      <c r="EK158" s="267"/>
      <c r="EL158" s="268"/>
      <c r="EM158" s="264"/>
      <c r="EN158" s="269"/>
      <c r="EO158" s="264"/>
      <c r="EP158" s="265"/>
      <c r="EQ158" s="266"/>
      <c r="ER158" s="267"/>
      <c r="ES158" s="268"/>
      <c r="ET158" s="264"/>
      <c r="EU158" s="269"/>
      <c r="EV158" s="264"/>
      <c r="EW158" s="265"/>
      <c r="EX158" s="266"/>
      <c r="EY158" s="267"/>
      <c r="EZ158" s="268"/>
      <c r="FA158" s="264"/>
      <c r="FB158" s="269"/>
      <c r="FC158" s="264"/>
      <c r="FD158" s="265"/>
      <c r="FE158" s="266"/>
      <c r="FF158" s="267"/>
      <c r="FG158" s="268"/>
      <c r="FH158" s="264"/>
      <c r="FI158" s="269"/>
      <c r="FJ158" s="264"/>
      <c r="FK158" s="265"/>
      <c r="FL158" s="266"/>
      <c r="FM158" s="267"/>
      <c r="FN158" s="268"/>
      <c r="FO158" s="264"/>
      <c r="FP158" s="269"/>
      <c r="FQ158" s="264"/>
      <c r="FR158" s="265"/>
      <c r="FS158" s="266"/>
      <c r="FT158" s="267"/>
      <c r="FU158" s="268"/>
      <c r="FV158" s="264"/>
      <c r="FW158" s="269"/>
      <c r="FX158" s="264"/>
      <c r="FY158" s="265"/>
      <c r="FZ158" s="266"/>
      <c r="GA158" s="267"/>
      <c r="GB158" s="268"/>
      <c r="GC158" s="264"/>
      <c r="GD158" s="269"/>
      <c r="GE158" s="264"/>
      <c r="GF158" s="265"/>
      <c r="GG158" s="266"/>
      <c r="GH158" s="267"/>
      <c r="GI158" s="268"/>
      <c r="GJ158" s="264"/>
      <c r="GK158" s="269"/>
      <c r="GL158" s="264"/>
      <c r="GM158" s="265"/>
      <c r="GN158" s="266"/>
      <c r="GO158" s="267"/>
      <c r="GP158" s="268"/>
      <c r="GQ158" s="264"/>
      <c r="GR158" s="269"/>
      <c r="GS158" s="264"/>
      <c r="GT158" s="265"/>
      <c r="GU158" s="266"/>
      <c r="GV158" s="267"/>
      <c r="GW158" s="268"/>
      <c r="GX158" s="264"/>
      <c r="GY158" s="269"/>
      <c r="GZ158" s="264"/>
      <c r="HA158" s="265"/>
      <c r="HB158" s="266"/>
      <c r="HC158" s="267"/>
      <c r="HD158" s="268"/>
      <c r="HE158" s="264"/>
      <c r="HF158" s="269"/>
      <c r="HG158" s="264"/>
      <c r="HH158" s="265"/>
      <c r="HI158" s="266"/>
      <c r="HJ158" s="267"/>
      <c r="HK158" s="268"/>
      <c r="HL158" s="264"/>
      <c r="HM158" s="269"/>
      <c r="HN158" s="264"/>
      <c r="HO158" s="265"/>
      <c r="HP158" s="266"/>
      <c r="HQ158" s="267"/>
      <c r="HR158" s="268"/>
      <c r="HS158" s="264"/>
      <c r="HT158" s="269"/>
      <c r="HU158" s="264"/>
      <c r="HV158" s="265"/>
      <c r="HW158" s="266"/>
      <c r="HX158" s="267"/>
      <c r="HY158" s="268"/>
      <c r="HZ158" s="264"/>
      <c r="IA158" s="269"/>
      <c r="IB158" s="264"/>
      <c r="IC158" s="265"/>
      <c r="ID158" s="266"/>
      <c r="IE158" s="267"/>
      <c r="IF158" s="268"/>
      <c r="IG158" s="264"/>
      <c r="IH158" s="269"/>
      <c r="II158" s="264"/>
      <c r="IJ158" s="265"/>
      <c r="IK158" s="266"/>
      <c r="IL158" s="267"/>
      <c r="IM158" s="268"/>
    </row>
    <row r="159" spans="1:247" ht="22.5">
      <c r="A159" s="223" t="str">
        <f t="shared" si="8"/>
        <v>CCU06.01.402</v>
      </c>
      <c r="B159" s="224" t="s">
        <v>170</v>
      </c>
      <c r="C159" s="30" t="s">
        <v>413</v>
      </c>
      <c r="D159" s="159" t="s">
        <v>251</v>
      </c>
      <c r="E159" s="225">
        <v>1</v>
      </c>
      <c r="F159" s="313">
        <f>VLOOKUP(A159,'CCU''s'!$A:$G,7,0)</f>
        <v>4150</v>
      </c>
      <c r="G159" s="226">
        <f>ROUND(E159*F159,2)</f>
        <v>4150</v>
      </c>
      <c r="H159" s="267"/>
      <c r="I159" s="268"/>
      <c r="J159" s="264"/>
      <c r="K159" s="269"/>
      <c r="L159" s="264"/>
      <c r="M159" s="265"/>
      <c r="N159" s="266"/>
      <c r="O159" s="267"/>
      <c r="P159" s="268"/>
      <c r="Q159" s="264"/>
      <c r="R159" s="269"/>
      <c r="S159" s="264"/>
      <c r="T159" s="265"/>
      <c r="U159" s="266"/>
      <c r="V159" s="267"/>
      <c r="W159" s="268"/>
      <c r="X159" s="264"/>
      <c r="Y159" s="269"/>
      <c r="Z159" s="264"/>
      <c r="AA159" s="265"/>
      <c r="AB159" s="266"/>
      <c r="AC159" s="267"/>
      <c r="AD159" s="268"/>
      <c r="AE159" s="264"/>
      <c r="AF159" s="269"/>
      <c r="AG159" s="264"/>
      <c r="AH159" s="265"/>
      <c r="AI159" s="266"/>
      <c r="AJ159" s="267"/>
      <c r="AK159" s="268"/>
      <c r="AL159" s="264"/>
      <c r="AM159" s="269"/>
      <c r="AN159" s="264"/>
      <c r="AO159" s="265"/>
      <c r="AP159" s="266"/>
      <c r="AQ159" s="267"/>
      <c r="AR159" s="268"/>
      <c r="AS159" s="264"/>
      <c r="AT159" s="269"/>
      <c r="AU159" s="264"/>
      <c r="AV159" s="265"/>
      <c r="AW159" s="266"/>
      <c r="AX159" s="267"/>
      <c r="AY159" s="268"/>
      <c r="AZ159" s="264"/>
      <c r="BA159" s="269"/>
      <c r="BB159" s="264"/>
      <c r="BC159" s="265"/>
      <c r="BD159" s="266"/>
      <c r="BE159" s="267"/>
      <c r="BF159" s="268"/>
      <c r="BG159" s="264"/>
      <c r="BH159" s="269"/>
      <c r="BI159" s="264"/>
      <c r="BJ159" s="265"/>
      <c r="BK159" s="266"/>
      <c r="BL159" s="267"/>
      <c r="BM159" s="268"/>
      <c r="BN159" s="264"/>
      <c r="BO159" s="269"/>
      <c r="BP159" s="264"/>
      <c r="BQ159" s="265"/>
      <c r="BR159" s="266"/>
      <c r="BS159" s="267"/>
      <c r="BT159" s="268"/>
      <c r="BU159" s="264"/>
      <c r="BV159" s="269"/>
      <c r="BW159" s="264"/>
      <c r="BX159" s="265"/>
      <c r="BY159" s="266"/>
      <c r="BZ159" s="267"/>
      <c r="CA159" s="268"/>
      <c r="CB159" s="264"/>
      <c r="CC159" s="269"/>
      <c r="CD159" s="264"/>
      <c r="CE159" s="265"/>
      <c r="CF159" s="266"/>
      <c r="CG159" s="267"/>
      <c r="CH159" s="268"/>
      <c r="CI159" s="264"/>
      <c r="CJ159" s="269"/>
      <c r="CK159" s="264"/>
      <c r="CL159" s="265"/>
      <c r="CM159" s="266"/>
      <c r="CN159" s="267"/>
      <c r="CO159" s="268"/>
      <c r="CP159" s="264"/>
      <c r="CQ159" s="269"/>
      <c r="CR159" s="264"/>
      <c r="CS159" s="265"/>
      <c r="CT159" s="266"/>
      <c r="CU159" s="267"/>
      <c r="CV159" s="268"/>
      <c r="CW159" s="264"/>
      <c r="CX159" s="269"/>
      <c r="CY159" s="264"/>
      <c r="CZ159" s="265"/>
      <c r="DA159" s="266"/>
      <c r="DB159" s="267"/>
      <c r="DC159" s="268"/>
      <c r="DD159" s="264"/>
      <c r="DE159" s="269"/>
      <c r="DF159" s="264"/>
      <c r="DG159" s="265"/>
      <c r="DH159" s="266"/>
      <c r="DI159" s="267"/>
      <c r="DJ159" s="268"/>
      <c r="DK159" s="264"/>
      <c r="DL159" s="269"/>
      <c r="DM159" s="264"/>
      <c r="DN159" s="265"/>
      <c r="DO159" s="266"/>
      <c r="DP159" s="267"/>
      <c r="DQ159" s="268"/>
      <c r="DR159" s="264"/>
      <c r="DS159" s="269"/>
      <c r="DT159" s="264"/>
      <c r="DU159" s="265"/>
      <c r="DV159" s="266"/>
      <c r="DW159" s="267"/>
      <c r="DX159" s="268"/>
      <c r="DY159" s="264"/>
      <c r="DZ159" s="269"/>
      <c r="EA159" s="264"/>
      <c r="EB159" s="265"/>
      <c r="EC159" s="266"/>
      <c r="ED159" s="267"/>
      <c r="EE159" s="268"/>
      <c r="EF159" s="264"/>
      <c r="EG159" s="269"/>
      <c r="EH159" s="264"/>
      <c r="EI159" s="265"/>
      <c r="EJ159" s="266"/>
      <c r="EK159" s="267"/>
      <c r="EL159" s="268"/>
      <c r="EM159" s="264"/>
      <c r="EN159" s="269"/>
      <c r="EO159" s="264"/>
      <c r="EP159" s="265"/>
      <c r="EQ159" s="266"/>
      <c r="ER159" s="267"/>
      <c r="ES159" s="268"/>
      <c r="ET159" s="264"/>
      <c r="EU159" s="269"/>
      <c r="EV159" s="264"/>
      <c r="EW159" s="265"/>
      <c r="EX159" s="266"/>
      <c r="EY159" s="267"/>
      <c r="EZ159" s="268"/>
      <c r="FA159" s="264"/>
      <c r="FB159" s="269"/>
      <c r="FC159" s="264"/>
      <c r="FD159" s="265"/>
      <c r="FE159" s="266"/>
      <c r="FF159" s="267"/>
      <c r="FG159" s="268"/>
      <c r="FH159" s="264"/>
      <c r="FI159" s="269"/>
      <c r="FJ159" s="264"/>
      <c r="FK159" s="265"/>
      <c r="FL159" s="266"/>
      <c r="FM159" s="267"/>
      <c r="FN159" s="268"/>
      <c r="FO159" s="264"/>
      <c r="FP159" s="269"/>
      <c r="FQ159" s="264"/>
      <c r="FR159" s="265"/>
      <c r="FS159" s="266"/>
      <c r="FT159" s="267"/>
      <c r="FU159" s="268"/>
      <c r="FV159" s="264"/>
      <c r="FW159" s="269"/>
      <c r="FX159" s="264"/>
      <c r="FY159" s="265"/>
      <c r="FZ159" s="266"/>
      <c r="GA159" s="267"/>
      <c r="GB159" s="268"/>
      <c r="GC159" s="264"/>
      <c r="GD159" s="269"/>
      <c r="GE159" s="264"/>
      <c r="GF159" s="265"/>
      <c r="GG159" s="266"/>
      <c r="GH159" s="267"/>
      <c r="GI159" s="268"/>
      <c r="GJ159" s="264"/>
      <c r="GK159" s="269"/>
      <c r="GL159" s="264"/>
      <c r="GM159" s="265"/>
      <c r="GN159" s="266"/>
      <c r="GO159" s="267"/>
      <c r="GP159" s="268"/>
      <c r="GQ159" s="264"/>
      <c r="GR159" s="269"/>
      <c r="GS159" s="264"/>
      <c r="GT159" s="265"/>
      <c r="GU159" s="266"/>
      <c r="GV159" s="267"/>
      <c r="GW159" s="268"/>
      <c r="GX159" s="264"/>
      <c r="GY159" s="269"/>
      <c r="GZ159" s="264"/>
      <c r="HA159" s="265"/>
      <c r="HB159" s="266"/>
      <c r="HC159" s="267"/>
      <c r="HD159" s="268"/>
      <c r="HE159" s="264"/>
      <c r="HF159" s="269"/>
      <c r="HG159" s="264"/>
      <c r="HH159" s="265"/>
      <c r="HI159" s="266"/>
      <c r="HJ159" s="267"/>
      <c r="HK159" s="268"/>
      <c r="HL159" s="264"/>
      <c r="HM159" s="269"/>
      <c r="HN159" s="264"/>
      <c r="HO159" s="265"/>
      <c r="HP159" s="266"/>
      <c r="HQ159" s="267"/>
      <c r="HR159" s="268"/>
      <c r="HS159" s="264"/>
      <c r="HT159" s="269"/>
      <c r="HU159" s="264"/>
      <c r="HV159" s="265"/>
      <c r="HW159" s="266"/>
      <c r="HX159" s="267"/>
      <c r="HY159" s="268"/>
      <c r="HZ159" s="264"/>
      <c r="IA159" s="269"/>
      <c r="IB159" s="264"/>
      <c r="IC159" s="265"/>
      <c r="ID159" s="266"/>
      <c r="IE159" s="267"/>
      <c r="IF159" s="268"/>
      <c r="IG159" s="264"/>
      <c r="IH159" s="269"/>
      <c r="II159" s="264"/>
      <c r="IJ159" s="265"/>
      <c r="IK159" s="266"/>
      <c r="IL159" s="267"/>
      <c r="IM159" s="268"/>
    </row>
    <row r="160" spans="1:247" ht="33.75">
      <c r="A160" s="223" t="str">
        <f t="shared" si="8"/>
        <v>CCU06.01.403</v>
      </c>
      <c r="B160" s="224" t="s">
        <v>173</v>
      </c>
      <c r="C160" s="30" t="s">
        <v>405</v>
      </c>
      <c r="D160" s="159" t="s">
        <v>251</v>
      </c>
      <c r="E160" s="225">
        <v>89</v>
      </c>
      <c r="F160" s="313">
        <f>VLOOKUP(A160,'CCU''s'!$A:$G,7,0)</f>
        <v>14.06</v>
      </c>
      <c r="G160" s="226">
        <f aca="true" t="shared" si="9" ref="G160:G166">ROUND(E160*F160,2)</f>
        <v>1251.34</v>
      </c>
      <c r="H160" s="267"/>
      <c r="I160" s="268"/>
      <c r="J160" s="264"/>
      <c r="K160" s="269"/>
      <c r="L160" s="264"/>
      <c r="M160" s="265"/>
      <c r="N160" s="266"/>
      <c r="O160" s="267"/>
      <c r="P160" s="268"/>
      <c r="Q160" s="264"/>
      <c r="R160" s="269"/>
      <c r="S160" s="264"/>
      <c r="T160" s="265"/>
      <c r="U160" s="266"/>
      <c r="V160" s="267"/>
      <c r="W160" s="268"/>
      <c r="X160" s="264"/>
      <c r="Y160" s="269"/>
      <c r="Z160" s="264"/>
      <c r="AA160" s="265"/>
      <c r="AB160" s="266"/>
      <c r="AC160" s="267"/>
      <c r="AD160" s="268"/>
      <c r="AE160" s="264"/>
      <c r="AF160" s="269"/>
      <c r="AG160" s="264"/>
      <c r="AH160" s="265"/>
      <c r="AI160" s="266"/>
      <c r="AJ160" s="267"/>
      <c r="AK160" s="268"/>
      <c r="AL160" s="264"/>
      <c r="AM160" s="269"/>
      <c r="AN160" s="264"/>
      <c r="AO160" s="265"/>
      <c r="AP160" s="266"/>
      <c r="AQ160" s="267"/>
      <c r="AR160" s="268"/>
      <c r="AS160" s="264"/>
      <c r="AT160" s="269"/>
      <c r="AU160" s="264"/>
      <c r="AV160" s="265"/>
      <c r="AW160" s="266"/>
      <c r="AX160" s="267"/>
      <c r="AY160" s="268"/>
      <c r="AZ160" s="264"/>
      <c r="BA160" s="269"/>
      <c r="BB160" s="264"/>
      <c r="BC160" s="265"/>
      <c r="BD160" s="266"/>
      <c r="BE160" s="267"/>
      <c r="BF160" s="268"/>
      <c r="BG160" s="264"/>
      <c r="BH160" s="269"/>
      <c r="BI160" s="264"/>
      <c r="BJ160" s="265"/>
      <c r="BK160" s="266"/>
      <c r="BL160" s="267"/>
      <c r="BM160" s="268"/>
      <c r="BN160" s="264"/>
      <c r="BO160" s="269"/>
      <c r="BP160" s="264"/>
      <c r="BQ160" s="265"/>
      <c r="BR160" s="266"/>
      <c r="BS160" s="267"/>
      <c r="BT160" s="268"/>
      <c r="BU160" s="264"/>
      <c r="BV160" s="269"/>
      <c r="BW160" s="264"/>
      <c r="BX160" s="265"/>
      <c r="BY160" s="266"/>
      <c r="BZ160" s="267"/>
      <c r="CA160" s="268"/>
      <c r="CB160" s="264"/>
      <c r="CC160" s="269"/>
      <c r="CD160" s="264"/>
      <c r="CE160" s="265"/>
      <c r="CF160" s="266"/>
      <c r="CG160" s="267"/>
      <c r="CH160" s="268"/>
      <c r="CI160" s="264"/>
      <c r="CJ160" s="269"/>
      <c r="CK160" s="264"/>
      <c r="CL160" s="265"/>
      <c r="CM160" s="266"/>
      <c r="CN160" s="267"/>
      <c r="CO160" s="268"/>
      <c r="CP160" s="264"/>
      <c r="CQ160" s="269"/>
      <c r="CR160" s="264"/>
      <c r="CS160" s="265"/>
      <c r="CT160" s="266"/>
      <c r="CU160" s="267"/>
      <c r="CV160" s="268"/>
      <c r="CW160" s="264"/>
      <c r="CX160" s="269"/>
      <c r="CY160" s="264"/>
      <c r="CZ160" s="265"/>
      <c r="DA160" s="266"/>
      <c r="DB160" s="267"/>
      <c r="DC160" s="268"/>
      <c r="DD160" s="264"/>
      <c r="DE160" s="269"/>
      <c r="DF160" s="264"/>
      <c r="DG160" s="265"/>
      <c r="DH160" s="266"/>
      <c r="DI160" s="267"/>
      <c r="DJ160" s="268"/>
      <c r="DK160" s="264"/>
      <c r="DL160" s="269"/>
      <c r="DM160" s="264"/>
      <c r="DN160" s="265"/>
      <c r="DO160" s="266"/>
      <c r="DP160" s="267"/>
      <c r="DQ160" s="268"/>
      <c r="DR160" s="264"/>
      <c r="DS160" s="269"/>
      <c r="DT160" s="264"/>
      <c r="DU160" s="265"/>
      <c r="DV160" s="266"/>
      <c r="DW160" s="267"/>
      <c r="DX160" s="268"/>
      <c r="DY160" s="264"/>
      <c r="DZ160" s="269"/>
      <c r="EA160" s="264"/>
      <c r="EB160" s="265"/>
      <c r="EC160" s="266"/>
      <c r="ED160" s="267"/>
      <c r="EE160" s="268"/>
      <c r="EF160" s="264"/>
      <c r="EG160" s="269"/>
      <c r="EH160" s="264"/>
      <c r="EI160" s="265"/>
      <c r="EJ160" s="266"/>
      <c r="EK160" s="267"/>
      <c r="EL160" s="268"/>
      <c r="EM160" s="264"/>
      <c r="EN160" s="269"/>
      <c r="EO160" s="264"/>
      <c r="EP160" s="265"/>
      <c r="EQ160" s="266"/>
      <c r="ER160" s="267"/>
      <c r="ES160" s="268"/>
      <c r="ET160" s="264"/>
      <c r="EU160" s="269"/>
      <c r="EV160" s="264"/>
      <c r="EW160" s="265"/>
      <c r="EX160" s="266"/>
      <c r="EY160" s="267"/>
      <c r="EZ160" s="268"/>
      <c r="FA160" s="264"/>
      <c r="FB160" s="269"/>
      <c r="FC160" s="264"/>
      <c r="FD160" s="265"/>
      <c r="FE160" s="266"/>
      <c r="FF160" s="267"/>
      <c r="FG160" s="268"/>
      <c r="FH160" s="264"/>
      <c r="FI160" s="269"/>
      <c r="FJ160" s="264"/>
      <c r="FK160" s="265"/>
      <c r="FL160" s="266"/>
      <c r="FM160" s="267"/>
      <c r="FN160" s="268"/>
      <c r="FO160" s="264"/>
      <c r="FP160" s="269"/>
      <c r="FQ160" s="264"/>
      <c r="FR160" s="265"/>
      <c r="FS160" s="266"/>
      <c r="FT160" s="267"/>
      <c r="FU160" s="268"/>
      <c r="FV160" s="264"/>
      <c r="FW160" s="269"/>
      <c r="FX160" s="264"/>
      <c r="FY160" s="265"/>
      <c r="FZ160" s="266"/>
      <c r="GA160" s="267"/>
      <c r="GB160" s="268"/>
      <c r="GC160" s="264"/>
      <c r="GD160" s="269"/>
      <c r="GE160" s="264"/>
      <c r="GF160" s="265"/>
      <c r="GG160" s="266"/>
      <c r="GH160" s="267"/>
      <c r="GI160" s="268"/>
      <c r="GJ160" s="264"/>
      <c r="GK160" s="269"/>
      <c r="GL160" s="264"/>
      <c r="GM160" s="265"/>
      <c r="GN160" s="266"/>
      <c r="GO160" s="267"/>
      <c r="GP160" s="268"/>
      <c r="GQ160" s="264"/>
      <c r="GR160" s="269"/>
      <c r="GS160" s="264"/>
      <c r="GT160" s="265"/>
      <c r="GU160" s="266"/>
      <c r="GV160" s="267"/>
      <c r="GW160" s="268"/>
      <c r="GX160" s="264"/>
      <c r="GY160" s="269"/>
      <c r="GZ160" s="264"/>
      <c r="HA160" s="265"/>
      <c r="HB160" s="266"/>
      <c r="HC160" s="267"/>
      <c r="HD160" s="268"/>
      <c r="HE160" s="264"/>
      <c r="HF160" s="269"/>
      <c r="HG160" s="264"/>
      <c r="HH160" s="265"/>
      <c r="HI160" s="266"/>
      <c r="HJ160" s="267"/>
      <c r="HK160" s="268"/>
      <c r="HL160" s="264"/>
      <c r="HM160" s="269"/>
      <c r="HN160" s="264"/>
      <c r="HO160" s="265"/>
      <c r="HP160" s="266"/>
      <c r="HQ160" s="267"/>
      <c r="HR160" s="268"/>
      <c r="HS160" s="264"/>
      <c r="HT160" s="269"/>
      <c r="HU160" s="264"/>
      <c r="HV160" s="265"/>
      <c r="HW160" s="266"/>
      <c r="HX160" s="267"/>
      <c r="HY160" s="268"/>
      <c r="HZ160" s="264"/>
      <c r="IA160" s="269"/>
      <c r="IB160" s="264"/>
      <c r="IC160" s="265"/>
      <c r="ID160" s="266"/>
      <c r="IE160" s="267"/>
      <c r="IF160" s="268"/>
      <c r="IG160" s="264"/>
      <c r="IH160" s="269"/>
      <c r="II160" s="264"/>
      <c r="IJ160" s="265"/>
      <c r="IK160" s="266"/>
      <c r="IL160" s="267"/>
      <c r="IM160" s="268"/>
    </row>
    <row r="161" spans="1:247" ht="33.75">
      <c r="A161" s="223" t="str">
        <f t="shared" si="8"/>
        <v>CCU06.01.404</v>
      </c>
      <c r="B161" s="224" t="s">
        <v>88</v>
      </c>
      <c r="C161" s="30" t="s">
        <v>406</v>
      </c>
      <c r="D161" s="159" t="s">
        <v>251</v>
      </c>
      <c r="E161" s="225">
        <v>96</v>
      </c>
      <c r="F161" s="313">
        <f>VLOOKUP(A161,'CCU''s'!$A:$G,7,0)</f>
        <v>18.889999999999997</v>
      </c>
      <c r="G161" s="226">
        <f t="shared" si="9"/>
        <v>1813.44</v>
      </c>
      <c r="H161" s="267"/>
      <c r="I161" s="268"/>
      <c r="J161" s="264"/>
      <c r="K161" s="269"/>
      <c r="L161" s="264"/>
      <c r="M161" s="265"/>
      <c r="N161" s="266"/>
      <c r="O161" s="267"/>
      <c r="P161" s="268"/>
      <c r="Q161" s="264"/>
      <c r="R161" s="269"/>
      <c r="S161" s="264"/>
      <c r="T161" s="265"/>
      <c r="U161" s="266"/>
      <c r="V161" s="267"/>
      <c r="W161" s="268"/>
      <c r="X161" s="264"/>
      <c r="Y161" s="269"/>
      <c r="Z161" s="264"/>
      <c r="AA161" s="265"/>
      <c r="AB161" s="266"/>
      <c r="AC161" s="267"/>
      <c r="AD161" s="268"/>
      <c r="AE161" s="264"/>
      <c r="AF161" s="269"/>
      <c r="AG161" s="264"/>
      <c r="AH161" s="265"/>
      <c r="AI161" s="266"/>
      <c r="AJ161" s="267"/>
      <c r="AK161" s="268"/>
      <c r="AL161" s="264"/>
      <c r="AM161" s="269"/>
      <c r="AN161" s="264"/>
      <c r="AO161" s="265"/>
      <c r="AP161" s="266"/>
      <c r="AQ161" s="267"/>
      <c r="AR161" s="268"/>
      <c r="AS161" s="264"/>
      <c r="AT161" s="269"/>
      <c r="AU161" s="264"/>
      <c r="AV161" s="265"/>
      <c r="AW161" s="266"/>
      <c r="AX161" s="267"/>
      <c r="AY161" s="268"/>
      <c r="AZ161" s="264"/>
      <c r="BA161" s="269"/>
      <c r="BB161" s="264"/>
      <c r="BC161" s="265"/>
      <c r="BD161" s="266"/>
      <c r="BE161" s="267"/>
      <c r="BF161" s="268"/>
      <c r="BG161" s="264"/>
      <c r="BH161" s="269"/>
      <c r="BI161" s="264"/>
      <c r="BJ161" s="265"/>
      <c r="BK161" s="266"/>
      <c r="BL161" s="267"/>
      <c r="BM161" s="268"/>
      <c r="BN161" s="264"/>
      <c r="BO161" s="269"/>
      <c r="BP161" s="264"/>
      <c r="BQ161" s="265"/>
      <c r="BR161" s="266"/>
      <c r="BS161" s="267"/>
      <c r="BT161" s="268"/>
      <c r="BU161" s="264"/>
      <c r="BV161" s="269"/>
      <c r="BW161" s="264"/>
      <c r="BX161" s="265"/>
      <c r="BY161" s="266"/>
      <c r="BZ161" s="267"/>
      <c r="CA161" s="268"/>
      <c r="CB161" s="264"/>
      <c r="CC161" s="269"/>
      <c r="CD161" s="264"/>
      <c r="CE161" s="265"/>
      <c r="CF161" s="266"/>
      <c r="CG161" s="267"/>
      <c r="CH161" s="268"/>
      <c r="CI161" s="264"/>
      <c r="CJ161" s="269"/>
      <c r="CK161" s="264"/>
      <c r="CL161" s="265"/>
      <c r="CM161" s="266"/>
      <c r="CN161" s="267"/>
      <c r="CO161" s="268"/>
      <c r="CP161" s="264"/>
      <c r="CQ161" s="269"/>
      <c r="CR161" s="264"/>
      <c r="CS161" s="265"/>
      <c r="CT161" s="266"/>
      <c r="CU161" s="267"/>
      <c r="CV161" s="268"/>
      <c r="CW161" s="264"/>
      <c r="CX161" s="269"/>
      <c r="CY161" s="264"/>
      <c r="CZ161" s="265"/>
      <c r="DA161" s="266"/>
      <c r="DB161" s="267"/>
      <c r="DC161" s="268"/>
      <c r="DD161" s="264"/>
      <c r="DE161" s="269"/>
      <c r="DF161" s="264"/>
      <c r="DG161" s="265"/>
      <c r="DH161" s="266"/>
      <c r="DI161" s="267"/>
      <c r="DJ161" s="268"/>
      <c r="DK161" s="264"/>
      <c r="DL161" s="269"/>
      <c r="DM161" s="264"/>
      <c r="DN161" s="265"/>
      <c r="DO161" s="266"/>
      <c r="DP161" s="267"/>
      <c r="DQ161" s="268"/>
      <c r="DR161" s="264"/>
      <c r="DS161" s="269"/>
      <c r="DT161" s="264"/>
      <c r="DU161" s="265"/>
      <c r="DV161" s="266"/>
      <c r="DW161" s="267"/>
      <c r="DX161" s="268"/>
      <c r="DY161" s="264"/>
      <c r="DZ161" s="269"/>
      <c r="EA161" s="264"/>
      <c r="EB161" s="265"/>
      <c r="EC161" s="266"/>
      <c r="ED161" s="267"/>
      <c r="EE161" s="268"/>
      <c r="EF161" s="264"/>
      <c r="EG161" s="269"/>
      <c r="EH161" s="264"/>
      <c r="EI161" s="265"/>
      <c r="EJ161" s="266"/>
      <c r="EK161" s="267"/>
      <c r="EL161" s="268"/>
      <c r="EM161" s="264"/>
      <c r="EN161" s="269"/>
      <c r="EO161" s="264"/>
      <c r="EP161" s="265"/>
      <c r="EQ161" s="266"/>
      <c r="ER161" s="267"/>
      <c r="ES161" s="268"/>
      <c r="ET161" s="264"/>
      <c r="EU161" s="269"/>
      <c r="EV161" s="264"/>
      <c r="EW161" s="265"/>
      <c r="EX161" s="266"/>
      <c r="EY161" s="267"/>
      <c r="EZ161" s="268"/>
      <c r="FA161" s="264"/>
      <c r="FB161" s="269"/>
      <c r="FC161" s="264"/>
      <c r="FD161" s="265"/>
      <c r="FE161" s="266"/>
      <c r="FF161" s="267"/>
      <c r="FG161" s="268"/>
      <c r="FH161" s="264"/>
      <c r="FI161" s="269"/>
      <c r="FJ161" s="264"/>
      <c r="FK161" s="265"/>
      <c r="FL161" s="266"/>
      <c r="FM161" s="267"/>
      <c r="FN161" s="268"/>
      <c r="FO161" s="264"/>
      <c r="FP161" s="269"/>
      <c r="FQ161" s="264"/>
      <c r="FR161" s="265"/>
      <c r="FS161" s="266"/>
      <c r="FT161" s="267"/>
      <c r="FU161" s="268"/>
      <c r="FV161" s="264"/>
      <c r="FW161" s="269"/>
      <c r="FX161" s="264"/>
      <c r="FY161" s="265"/>
      <c r="FZ161" s="266"/>
      <c r="GA161" s="267"/>
      <c r="GB161" s="268"/>
      <c r="GC161" s="264"/>
      <c r="GD161" s="269"/>
      <c r="GE161" s="264"/>
      <c r="GF161" s="265"/>
      <c r="GG161" s="266"/>
      <c r="GH161" s="267"/>
      <c r="GI161" s="268"/>
      <c r="GJ161" s="264"/>
      <c r="GK161" s="269"/>
      <c r="GL161" s="264"/>
      <c r="GM161" s="265"/>
      <c r="GN161" s="266"/>
      <c r="GO161" s="267"/>
      <c r="GP161" s="268"/>
      <c r="GQ161" s="264"/>
      <c r="GR161" s="269"/>
      <c r="GS161" s="264"/>
      <c r="GT161" s="265"/>
      <c r="GU161" s="266"/>
      <c r="GV161" s="267"/>
      <c r="GW161" s="268"/>
      <c r="GX161" s="264"/>
      <c r="GY161" s="269"/>
      <c r="GZ161" s="264"/>
      <c r="HA161" s="265"/>
      <c r="HB161" s="266"/>
      <c r="HC161" s="267"/>
      <c r="HD161" s="268"/>
      <c r="HE161" s="264"/>
      <c r="HF161" s="269"/>
      <c r="HG161" s="264"/>
      <c r="HH161" s="265"/>
      <c r="HI161" s="266"/>
      <c r="HJ161" s="267"/>
      <c r="HK161" s="268"/>
      <c r="HL161" s="264"/>
      <c r="HM161" s="269"/>
      <c r="HN161" s="264"/>
      <c r="HO161" s="265"/>
      <c r="HP161" s="266"/>
      <c r="HQ161" s="267"/>
      <c r="HR161" s="268"/>
      <c r="HS161" s="264"/>
      <c r="HT161" s="269"/>
      <c r="HU161" s="264"/>
      <c r="HV161" s="265"/>
      <c r="HW161" s="266"/>
      <c r="HX161" s="267"/>
      <c r="HY161" s="268"/>
      <c r="HZ161" s="264"/>
      <c r="IA161" s="269"/>
      <c r="IB161" s="264"/>
      <c r="IC161" s="265"/>
      <c r="ID161" s="266"/>
      <c r="IE161" s="267"/>
      <c r="IF161" s="268"/>
      <c r="IG161" s="264"/>
      <c r="IH161" s="269"/>
      <c r="II161" s="264"/>
      <c r="IJ161" s="265"/>
      <c r="IK161" s="266"/>
      <c r="IL161" s="267"/>
      <c r="IM161" s="268"/>
    </row>
    <row r="162" spans="1:247" ht="33.75">
      <c r="A162" s="223" t="str">
        <f t="shared" si="8"/>
        <v>CCU06.01.405</v>
      </c>
      <c r="B162" s="224" t="s">
        <v>164</v>
      </c>
      <c r="C162" s="30" t="s">
        <v>414</v>
      </c>
      <c r="D162" s="159" t="s">
        <v>251</v>
      </c>
      <c r="E162" s="225">
        <v>26</v>
      </c>
      <c r="F162" s="313">
        <f>VLOOKUP(A162,'CCU''s'!$A:$G,7,0)</f>
        <v>31.96</v>
      </c>
      <c r="G162" s="226">
        <f t="shared" si="9"/>
        <v>830.96</v>
      </c>
      <c r="H162" s="267"/>
      <c r="I162" s="268"/>
      <c r="J162" s="264"/>
      <c r="K162" s="269"/>
      <c r="L162" s="264"/>
      <c r="M162" s="265"/>
      <c r="N162" s="266"/>
      <c r="O162" s="267"/>
      <c r="P162" s="268"/>
      <c r="Q162" s="264"/>
      <c r="R162" s="269"/>
      <c r="S162" s="264"/>
      <c r="T162" s="265"/>
      <c r="U162" s="266"/>
      <c r="V162" s="267"/>
      <c r="W162" s="268"/>
      <c r="X162" s="264"/>
      <c r="Y162" s="269"/>
      <c r="Z162" s="264"/>
      <c r="AA162" s="265"/>
      <c r="AB162" s="266"/>
      <c r="AC162" s="267"/>
      <c r="AD162" s="268"/>
      <c r="AE162" s="264"/>
      <c r="AF162" s="269"/>
      <c r="AG162" s="264"/>
      <c r="AH162" s="265"/>
      <c r="AI162" s="266"/>
      <c r="AJ162" s="267"/>
      <c r="AK162" s="268"/>
      <c r="AL162" s="264"/>
      <c r="AM162" s="269"/>
      <c r="AN162" s="264"/>
      <c r="AO162" s="265"/>
      <c r="AP162" s="266"/>
      <c r="AQ162" s="267"/>
      <c r="AR162" s="268"/>
      <c r="AS162" s="264"/>
      <c r="AT162" s="269"/>
      <c r="AU162" s="264"/>
      <c r="AV162" s="265"/>
      <c r="AW162" s="266"/>
      <c r="AX162" s="267"/>
      <c r="AY162" s="268"/>
      <c r="AZ162" s="264"/>
      <c r="BA162" s="269"/>
      <c r="BB162" s="264"/>
      <c r="BC162" s="265"/>
      <c r="BD162" s="266"/>
      <c r="BE162" s="267"/>
      <c r="BF162" s="268"/>
      <c r="BG162" s="264"/>
      <c r="BH162" s="269"/>
      <c r="BI162" s="264"/>
      <c r="BJ162" s="265"/>
      <c r="BK162" s="266"/>
      <c r="BL162" s="267"/>
      <c r="BM162" s="268"/>
      <c r="BN162" s="264"/>
      <c r="BO162" s="269"/>
      <c r="BP162" s="264"/>
      <c r="BQ162" s="265"/>
      <c r="BR162" s="266"/>
      <c r="BS162" s="267"/>
      <c r="BT162" s="268"/>
      <c r="BU162" s="264"/>
      <c r="BV162" s="269"/>
      <c r="BW162" s="264"/>
      <c r="BX162" s="265"/>
      <c r="BY162" s="266"/>
      <c r="BZ162" s="267"/>
      <c r="CA162" s="268"/>
      <c r="CB162" s="264"/>
      <c r="CC162" s="269"/>
      <c r="CD162" s="264"/>
      <c r="CE162" s="265"/>
      <c r="CF162" s="266"/>
      <c r="CG162" s="267"/>
      <c r="CH162" s="268"/>
      <c r="CI162" s="264"/>
      <c r="CJ162" s="269"/>
      <c r="CK162" s="264"/>
      <c r="CL162" s="265"/>
      <c r="CM162" s="266"/>
      <c r="CN162" s="267"/>
      <c r="CO162" s="268"/>
      <c r="CP162" s="264"/>
      <c r="CQ162" s="269"/>
      <c r="CR162" s="264"/>
      <c r="CS162" s="265"/>
      <c r="CT162" s="266"/>
      <c r="CU162" s="267"/>
      <c r="CV162" s="268"/>
      <c r="CW162" s="264"/>
      <c r="CX162" s="269"/>
      <c r="CY162" s="264"/>
      <c r="CZ162" s="265"/>
      <c r="DA162" s="266"/>
      <c r="DB162" s="267"/>
      <c r="DC162" s="268"/>
      <c r="DD162" s="264"/>
      <c r="DE162" s="269"/>
      <c r="DF162" s="264"/>
      <c r="DG162" s="265"/>
      <c r="DH162" s="266"/>
      <c r="DI162" s="267"/>
      <c r="DJ162" s="268"/>
      <c r="DK162" s="264"/>
      <c r="DL162" s="269"/>
      <c r="DM162" s="264"/>
      <c r="DN162" s="265"/>
      <c r="DO162" s="266"/>
      <c r="DP162" s="267"/>
      <c r="DQ162" s="268"/>
      <c r="DR162" s="264"/>
      <c r="DS162" s="269"/>
      <c r="DT162" s="264"/>
      <c r="DU162" s="265"/>
      <c r="DV162" s="266"/>
      <c r="DW162" s="267"/>
      <c r="DX162" s="268"/>
      <c r="DY162" s="264"/>
      <c r="DZ162" s="269"/>
      <c r="EA162" s="264"/>
      <c r="EB162" s="265"/>
      <c r="EC162" s="266"/>
      <c r="ED162" s="267"/>
      <c r="EE162" s="268"/>
      <c r="EF162" s="264"/>
      <c r="EG162" s="269"/>
      <c r="EH162" s="264"/>
      <c r="EI162" s="265"/>
      <c r="EJ162" s="266"/>
      <c r="EK162" s="267"/>
      <c r="EL162" s="268"/>
      <c r="EM162" s="264"/>
      <c r="EN162" s="269"/>
      <c r="EO162" s="264"/>
      <c r="EP162" s="265"/>
      <c r="EQ162" s="266"/>
      <c r="ER162" s="267"/>
      <c r="ES162" s="268"/>
      <c r="ET162" s="264"/>
      <c r="EU162" s="269"/>
      <c r="EV162" s="264"/>
      <c r="EW162" s="265"/>
      <c r="EX162" s="266"/>
      <c r="EY162" s="267"/>
      <c r="EZ162" s="268"/>
      <c r="FA162" s="264"/>
      <c r="FB162" s="269"/>
      <c r="FC162" s="264"/>
      <c r="FD162" s="265"/>
      <c r="FE162" s="266"/>
      <c r="FF162" s="267"/>
      <c r="FG162" s="268"/>
      <c r="FH162" s="264"/>
      <c r="FI162" s="269"/>
      <c r="FJ162" s="264"/>
      <c r="FK162" s="265"/>
      <c r="FL162" s="266"/>
      <c r="FM162" s="267"/>
      <c r="FN162" s="268"/>
      <c r="FO162" s="264"/>
      <c r="FP162" s="269"/>
      <c r="FQ162" s="264"/>
      <c r="FR162" s="265"/>
      <c r="FS162" s="266"/>
      <c r="FT162" s="267"/>
      <c r="FU162" s="268"/>
      <c r="FV162" s="264"/>
      <c r="FW162" s="269"/>
      <c r="FX162" s="264"/>
      <c r="FY162" s="265"/>
      <c r="FZ162" s="266"/>
      <c r="GA162" s="267"/>
      <c r="GB162" s="268"/>
      <c r="GC162" s="264"/>
      <c r="GD162" s="269"/>
      <c r="GE162" s="264"/>
      <c r="GF162" s="265"/>
      <c r="GG162" s="266"/>
      <c r="GH162" s="267"/>
      <c r="GI162" s="268"/>
      <c r="GJ162" s="264"/>
      <c r="GK162" s="269"/>
      <c r="GL162" s="264"/>
      <c r="GM162" s="265"/>
      <c r="GN162" s="266"/>
      <c r="GO162" s="267"/>
      <c r="GP162" s="268"/>
      <c r="GQ162" s="264"/>
      <c r="GR162" s="269"/>
      <c r="GS162" s="264"/>
      <c r="GT162" s="265"/>
      <c r="GU162" s="266"/>
      <c r="GV162" s="267"/>
      <c r="GW162" s="268"/>
      <c r="GX162" s="264"/>
      <c r="GY162" s="269"/>
      <c r="GZ162" s="264"/>
      <c r="HA162" s="265"/>
      <c r="HB162" s="266"/>
      <c r="HC162" s="267"/>
      <c r="HD162" s="268"/>
      <c r="HE162" s="264"/>
      <c r="HF162" s="269"/>
      <c r="HG162" s="264"/>
      <c r="HH162" s="265"/>
      <c r="HI162" s="266"/>
      <c r="HJ162" s="267"/>
      <c r="HK162" s="268"/>
      <c r="HL162" s="264"/>
      <c r="HM162" s="269"/>
      <c r="HN162" s="264"/>
      <c r="HO162" s="265"/>
      <c r="HP162" s="266"/>
      <c r="HQ162" s="267"/>
      <c r="HR162" s="268"/>
      <c r="HS162" s="264"/>
      <c r="HT162" s="269"/>
      <c r="HU162" s="264"/>
      <c r="HV162" s="265"/>
      <c r="HW162" s="266"/>
      <c r="HX162" s="267"/>
      <c r="HY162" s="268"/>
      <c r="HZ162" s="264"/>
      <c r="IA162" s="269"/>
      <c r="IB162" s="264"/>
      <c r="IC162" s="265"/>
      <c r="ID162" s="266"/>
      <c r="IE162" s="267"/>
      <c r="IF162" s="268"/>
      <c r="IG162" s="264"/>
      <c r="IH162" s="269"/>
      <c r="II162" s="264"/>
      <c r="IJ162" s="265"/>
      <c r="IK162" s="266"/>
      <c r="IL162" s="267"/>
      <c r="IM162" s="268"/>
    </row>
    <row r="163" spans="1:247" ht="56.25">
      <c r="A163" s="223" t="str">
        <f t="shared" si="8"/>
        <v>CCU06.01.406</v>
      </c>
      <c r="B163" s="224" t="s">
        <v>437</v>
      </c>
      <c r="C163" s="30" t="s">
        <v>26</v>
      </c>
      <c r="D163" s="159" t="s">
        <v>249</v>
      </c>
      <c r="E163" s="225">
        <v>531</v>
      </c>
      <c r="F163" s="313">
        <f>VLOOKUP(A163,'CCU''s'!$A:$G,7,0)</f>
        <v>6.01</v>
      </c>
      <c r="G163" s="226">
        <f t="shared" si="9"/>
        <v>3191.31</v>
      </c>
      <c r="H163" s="267"/>
      <c r="I163" s="268"/>
      <c r="J163" s="264"/>
      <c r="K163" s="269"/>
      <c r="L163" s="264"/>
      <c r="M163" s="265"/>
      <c r="N163" s="266"/>
      <c r="O163" s="267"/>
      <c r="P163" s="268"/>
      <c r="Q163" s="264"/>
      <c r="R163" s="269"/>
      <c r="S163" s="264"/>
      <c r="T163" s="265"/>
      <c r="U163" s="266"/>
      <c r="V163" s="267"/>
      <c r="W163" s="268"/>
      <c r="X163" s="264"/>
      <c r="Y163" s="269"/>
      <c r="Z163" s="264"/>
      <c r="AA163" s="265"/>
      <c r="AB163" s="266"/>
      <c r="AC163" s="267"/>
      <c r="AD163" s="268"/>
      <c r="AE163" s="264"/>
      <c r="AF163" s="269"/>
      <c r="AG163" s="264"/>
      <c r="AH163" s="265"/>
      <c r="AI163" s="266"/>
      <c r="AJ163" s="267"/>
      <c r="AK163" s="268"/>
      <c r="AL163" s="264"/>
      <c r="AM163" s="269"/>
      <c r="AN163" s="264"/>
      <c r="AO163" s="265"/>
      <c r="AP163" s="266"/>
      <c r="AQ163" s="267"/>
      <c r="AR163" s="268"/>
      <c r="AS163" s="264"/>
      <c r="AT163" s="269"/>
      <c r="AU163" s="264"/>
      <c r="AV163" s="265"/>
      <c r="AW163" s="266"/>
      <c r="AX163" s="267"/>
      <c r="AY163" s="268"/>
      <c r="AZ163" s="264"/>
      <c r="BA163" s="269"/>
      <c r="BB163" s="264"/>
      <c r="BC163" s="265"/>
      <c r="BD163" s="266"/>
      <c r="BE163" s="267"/>
      <c r="BF163" s="268"/>
      <c r="BG163" s="264"/>
      <c r="BH163" s="269"/>
      <c r="BI163" s="264"/>
      <c r="BJ163" s="265"/>
      <c r="BK163" s="266"/>
      <c r="BL163" s="267"/>
      <c r="BM163" s="268"/>
      <c r="BN163" s="264"/>
      <c r="BO163" s="269"/>
      <c r="BP163" s="264"/>
      <c r="BQ163" s="265"/>
      <c r="BR163" s="266"/>
      <c r="BS163" s="267"/>
      <c r="BT163" s="268"/>
      <c r="BU163" s="264"/>
      <c r="BV163" s="269"/>
      <c r="BW163" s="264"/>
      <c r="BX163" s="265"/>
      <c r="BY163" s="266"/>
      <c r="BZ163" s="267"/>
      <c r="CA163" s="268"/>
      <c r="CB163" s="264"/>
      <c r="CC163" s="269"/>
      <c r="CD163" s="264"/>
      <c r="CE163" s="265"/>
      <c r="CF163" s="266"/>
      <c r="CG163" s="267"/>
      <c r="CH163" s="268"/>
      <c r="CI163" s="264"/>
      <c r="CJ163" s="269"/>
      <c r="CK163" s="264"/>
      <c r="CL163" s="265"/>
      <c r="CM163" s="266"/>
      <c r="CN163" s="267"/>
      <c r="CO163" s="268"/>
      <c r="CP163" s="264"/>
      <c r="CQ163" s="269"/>
      <c r="CR163" s="264"/>
      <c r="CS163" s="265"/>
      <c r="CT163" s="266"/>
      <c r="CU163" s="267"/>
      <c r="CV163" s="268"/>
      <c r="CW163" s="264"/>
      <c r="CX163" s="269"/>
      <c r="CY163" s="264"/>
      <c r="CZ163" s="265"/>
      <c r="DA163" s="266"/>
      <c r="DB163" s="267"/>
      <c r="DC163" s="268"/>
      <c r="DD163" s="264"/>
      <c r="DE163" s="269"/>
      <c r="DF163" s="264"/>
      <c r="DG163" s="265"/>
      <c r="DH163" s="266"/>
      <c r="DI163" s="267"/>
      <c r="DJ163" s="268"/>
      <c r="DK163" s="264"/>
      <c r="DL163" s="269"/>
      <c r="DM163" s="264"/>
      <c r="DN163" s="265"/>
      <c r="DO163" s="266"/>
      <c r="DP163" s="267"/>
      <c r="DQ163" s="268"/>
      <c r="DR163" s="264"/>
      <c r="DS163" s="269"/>
      <c r="DT163" s="264"/>
      <c r="DU163" s="265"/>
      <c r="DV163" s="266"/>
      <c r="DW163" s="267"/>
      <c r="DX163" s="268"/>
      <c r="DY163" s="264"/>
      <c r="DZ163" s="269"/>
      <c r="EA163" s="264"/>
      <c r="EB163" s="265"/>
      <c r="EC163" s="266"/>
      <c r="ED163" s="267"/>
      <c r="EE163" s="268"/>
      <c r="EF163" s="264"/>
      <c r="EG163" s="269"/>
      <c r="EH163" s="264"/>
      <c r="EI163" s="265"/>
      <c r="EJ163" s="266"/>
      <c r="EK163" s="267"/>
      <c r="EL163" s="268"/>
      <c r="EM163" s="264"/>
      <c r="EN163" s="269"/>
      <c r="EO163" s="264"/>
      <c r="EP163" s="265"/>
      <c r="EQ163" s="266"/>
      <c r="ER163" s="267"/>
      <c r="ES163" s="268"/>
      <c r="ET163" s="264"/>
      <c r="EU163" s="269"/>
      <c r="EV163" s="264"/>
      <c r="EW163" s="265"/>
      <c r="EX163" s="266"/>
      <c r="EY163" s="267"/>
      <c r="EZ163" s="268"/>
      <c r="FA163" s="264"/>
      <c r="FB163" s="269"/>
      <c r="FC163" s="264"/>
      <c r="FD163" s="265"/>
      <c r="FE163" s="266"/>
      <c r="FF163" s="267"/>
      <c r="FG163" s="268"/>
      <c r="FH163" s="264"/>
      <c r="FI163" s="269"/>
      <c r="FJ163" s="264"/>
      <c r="FK163" s="265"/>
      <c r="FL163" s="266"/>
      <c r="FM163" s="267"/>
      <c r="FN163" s="268"/>
      <c r="FO163" s="264"/>
      <c r="FP163" s="269"/>
      <c r="FQ163" s="264"/>
      <c r="FR163" s="265"/>
      <c r="FS163" s="266"/>
      <c r="FT163" s="267"/>
      <c r="FU163" s="268"/>
      <c r="FV163" s="264"/>
      <c r="FW163" s="269"/>
      <c r="FX163" s="264"/>
      <c r="FY163" s="265"/>
      <c r="FZ163" s="266"/>
      <c r="GA163" s="267"/>
      <c r="GB163" s="268"/>
      <c r="GC163" s="264"/>
      <c r="GD163" s="269"/>
      <c r="GE163" s="264"/>
      <c r="GF163" s="265"/>
      <c r="GG163" s="266"/>
      <c r="GH163" s="267"/>
      <c r="GI163" s="268"/>
      <c r="GJ163" s="264"/>
      <c r="GK163" s="269"/>
      <c r="GL163" s="264"/>
      <c r="GM163" s="265"/>
      <c r="GN163" s="266"/>
      <c r="GO163" s="267"/>
      <c r="GP163" s="268"/>
      <c r="GQ163" s="264"/>
      <c r="GR163" s="269"/>
      <c r="GS163" s="264"/>
      <c r="GT163" s="265"/>
      <c r="GU163" s="266"/>
      <c r="GV163" s="267"/>
      <c r="GW163" s="268"/>
      <c r="GX163" s="264"/>
      <c r="GY163" s="269"/>
      <c r="GZ163" s="264"/>
      <c r="HA163" s="265"/>
      <c r="HB163" s="266"/>
      <c r="HC163" s="267"/>
      <c r="HD163" s="268"/>
      <c r="HE163" s="264"/>
      <c r="HF163" s="269"/>
      <c r="HG163" s="264"/>
      <c r="HH163" s="265"/>
      <c r="HI163" s="266"/>
      <c r="HJ163" s="267"/>
      <c r="HK163" s="268"/>
      <c r="HL163" s="264"/>
      <c r="HM163" s="269"/>
      <c r="HN163" s="264"/>
      <c r="HO163" s="265"/>
      <c r="HP163" s="266"/>
      <c r="HQ163" s="267"/>
      <c r="HR163" s="268"/>
      <c r="HS163" s="264"/>
      <c r="HT163" s="269"/>
      <c r="HU163" s="264"/>
      <c r="HV163" s="265"/>
      <c r="HW163" s="266"/>
      <c r="HX163" s="267"/>
      <c r="HY163" s="268"/>
      <c r="HZ163" s="264"/>
      <c r="IA163" s="269"/>
      <c r="IB163" s="264"/>
      <c r="IC163" s="265"/>
      <c r="ID163" s="266"/>
      <c r="IE163" s="267"/>
      <c r="IF163" s="268"/>
      <c r="IG163" s="264"/>
      <c r="IH163" s="269"/>
      <c r="II163" s="264"/>
      <c r="IJ163" s="265"/>
      <c r="IK163" s="266"/>
      <c r="IL163" s="267"/>
      <c r="IM163" s="268"/>
    </row>
    <row r="164" spans="1:247" ht="33.75">
      <c r="A164" s="223">
        <v>91930</v>
      </c>
      <c r="B164" s="224" t="s">
        <v>442</v>
      </c>
      <c r="C164" s="30" t="str">
        <f>VLOOKUP(A164,Insumos!$A:$D,2,0)</f>
        <v>Cabo de cobre flexível isolado, 6 mm², anti-chama 450/750V, para circuitos terminais - fornecimento e instalação</v>
      </c>
      <c r="D164" s="159" t="str">
        <f>VLOOKUP(A164,Insumos!$A:$D,3,0)</f>
        <v>m</v>
      </c>
      <c r="E164" s="225">
        <v>133</v>
      </c>
      <c r="F164" s="313">
        <f>VLOOKUP(A164,Insumos!$A:$D,4,0)</f>
        <v>6.44</v>
      </c>
      <c r="G164" s="226">
        <f t="shared" si="9"/>
        <v>856.52</v>
      </c>
      <c r="H164" s="267"/>
      <c r="I164" s="268"/>
      <c r="J164" s="264"/>
      <c r="K164" s="269"/>
      <c r="L164" s="264"/>
      <c r="M164" s="265"/>
      <c r="N164" s="266"/>
      <c r="O164" s="267"/>
      <c r="P164" s="268"/>
      <c r="Q164" s="264"/>
      <c r="R164" s="269"/>
      <c r="S164" s="264"/>
      <c r="T164" s="265"/>
      <c r="U164" s="266"/>
      <c r="V164" s="267"/>
      <c r="W164" s="268"/>
      <c r="X164" s="264"/>
      <c r="Y164" s="269"/>
      <c r="Z164" s="264"/>
      <c r="AA164" s="265"/>
      <c r="AB164" s="266"/>
      <c r="AC164" s="267"/>
      <c r="AD164" s="268"/>
      <c r="AE164" s="264"/>
      <c r="AF164" s="269"/>
      <c r="AG164" s="264"/>
      <c r="AH164" s="265"/>
      <c r="AI164" s="266"/>
      <c r="AJ164" s="267"/>
      <c r="AK164" s="268"/>
      <c r="AL164" s="264"/>
      <c r="AM164" s="269"/>
      <c r="AN164" s="264"/>
      <c r="AO164" s="265"/>
      <c r="AP164" s="266"/>
      <c r="AQ164" s="267"/>
      <c r="AR164" s="268"/>
      <c r="AS164" s="264"/>
      <c r="AT164" s="269"/>
      <c r="AU164" s="264"/>
      <c r="AV164" s="265"/>
      <c r="AW164" s="266"/>
      <c r="AX164" s="267"/>
      <c r="AY164" s="268"/>
      <c r="AZ164" s="264"/>
      <c r="BA164" s="269"/>
      <c r="BB164" s="264"/>
      <c r="BC164" s="265"/>
      <c r="BD164" s="266"/>
      <c r="BE164" s="267"/>
      <c r="BF164" s="268"/>
      <c r="BG164" s="264"/>
      <c r="BH164" s="269"/>
      <c r="BI164" s="264"/>
      <c r="BJ164" s="265"/>
      <c r="BK164" s="266"/>
      <c r="BL164" s="267"/>
      <c r="BM164" s="268"/>
      <c r="BN164" s="264"/>
      <c r="BO164" s="269"/>
      <c r="BP164" s="264"/>
      <c r="BQ164" s="265"/>
      <c r="BR164" s="266"/>
      <c r="BS164" s="267"/>
      <c r="BT164" s="268"/>
      <c r="BU164" s="264"/>
      <c r="BV164" s="269"/>
      <c r="BW164" s="264"/>
      <c r="BX164" s="265"/>
      <c r="BY164" s="266"/>
      <c r="BZ164" s="267"/>
      <c r="CA164" s="268"/>
      <c r="CB164" s="264"/>
      <c r="CC164" s="269"/>
      <c r="CD164" s="264"/>
      <c r="CE164" s="265"/>
      <c r="CF164" s="266"/>
      <c r="CG164" s="267"/>
      <c r="CH164" s="268"/>
      <c r="CI164" s="264"/>
      <c r="CJ164" s="269"/>
      <c r="CK164" s="264"/>
      <c r="CL164" s="265"/>
      <c r="CM164" s="266"/>
      <c r="CN164" s="267"/>
      <c r="CO164" s="268"/>
      <c r="CP164" s="264"/>
      <c r="CQ164" s="269"/>
      <c r="CR164" s="264"/>
      <c r="CS164" s="265"/>
      <c r="CT164" s="266"/>
      <c r="CU164" s="267"/>
      <c r="CV164" s="268"/>
      <c r="CW164" s="264"/>
      <c r="CX164" s="269"/>
      <c r="CY164" s="264"/>
      <c r="CZ164" s="265"/>
      <c r="DA164" s="266"/>
      <c r="DB164" s="267"/>
      <c r="DC164" s="268"/>
      <c r="DD164" s="264"/>
      <c r="DE164" s="269"/>
      <c r="DF164" s="264"/>
      <c r="DG164" s="265"/>
      <c r="DH164" s="266"/>
      <c r="DI164" s="267"/>
      <c r="DJ164" s="268"/>
      <c r="DK164" s="264"/>
      <c r="DL164" s="269"/>
      <c r="DM164" s="264"/>
      <c r="DN164" s="265"/>
      <c r="DO164" s="266"/>
      <c r="DP164" s="267"/>
      <c r="DQ164" s="268"/>
      <c r="DR164" s="264"/>
      <c r="DS164" s="269"/>
      <c r="DT164" s="264"/>
      <c r="DU164" s="265"/>
      <c r="DV164" s="266"/>
      <c r="DW164" s="267"/>
      <c r="DX164" s="268"/>
      <c r="DY164" s="264"/>
      <c r="DZ164" s="269"/>
      <c r="EA164" s="264"/>
      <c r="EB164" s="265"/>
      <c r="EC164" s="266"/>
      <c r="ED164" s="267"/>
      <c r="EE164" s="268"/>
      <c r="EF164" s="264"/>
      <c r="EG164" s="269"/>
      <c r="EH164" s="264"/>
      <c r="EI164" s="265"/>
      <c r="EJ164" s="266"/>
      <c r="EK164" s="267"/>
      <c r="EL164" s="268"/>
      <c r="EM164" s="264"/>
      <c r="EN164" s="269"/>
      <c r="EO164" s="264"/>
      <c r="EP164" s="265"/>
      <c r="EQ164" s="266"/>
      <c r="ER164" s="267"/>
      <c r="ES164" s="268"/>
      <c r="ET164" s="264"/>
      <c r="EU164" s="269"/>
      <c r="EV164" s="264"/>
      <c r="EW164" s="265"/>
      <c r="EX164" s="266"/>
      <c r="EY164" s="267"/>
      <c r="EZ164" s="268"/>
      <c r="FA164" s="264"/>
      <c r="FB164" s="269"/>
      <c r="FC164" s="264"/>
      <c r="FD164" s="265"/>
      <c r="FE164" s="266"/>
      <c r="FF164" s="267"/>
      <c r="FG164" s="268"/>
      <c r="FH164" s="264"/>
      <c r="FI164" s="269"/>
      <c r="FJ164" s="264"/>
      <c r="FK164" s="265"/>
      <c r="FL164" s="266"/>
      <c r="FM164" s="267"/>
      <c r="FN164" s="268"/>
      <c r="FO164" s="264"/>
      <c r="FP164" s="269"/>
      <c r="FQ164" s="264"/>
      <c r="FR164" s="265"/>
      <c r="FS164" s="266"/>
      <c r="FT164" s="267"/>
      <c r="FU164" s="268"/>
      <c r="FV164" s="264"/>
      <c r="FW164" s="269"/>
      <c r="FX164" s="264"/>
      <c r="FY164" s="265"/>
      <c r="FZ164" s="266"/>
      <c r="GA164" s="267"/>
      <c r="GB164" s="268"/>
      <c r="GC164" s="264"/>
      <c r="GD164" s="269"/>
      <c r="GE164" s="264"/>
      <c r="GF164" s="265"/>
      <c r="GG164" s="266"/>
      <c r="GH164" s="267"/>
      <c r="GI164" s="268"/>
      <c r="GJ164" s="264"/>
      <c r="GK164" s="269"/>
      <c r="GL164" s="264"/>
      <c r="GM164" s="265"/>
      <c r="GN164" s="266"/>
      <c r="GO164" s="267"/>
      <c r="GP164" s="268"/>
      <c r="GQ164" s="264"/>
      <c r="GR164" s="269"/>
      <c r="GS164" s="264"/>
      <c r="GT164" s="265"/>
      <c r="GU164" s="266"/>
      <c r="GV164" s="267"/>
      <c r="GW164" s="268"/>
      <c r="GX164" s="264"/>
      <c r="GY164" s="269"/>
      <c r="GZ164" s="264"/>
      <c r="HA164" s="265"/>
      <c r="HB164" s="266"/>
      <c r="HC164" s="267"/>
      <c r="HD164" s="268"/>
      <c r="HE164" s="264"/>
      <c r="HF164" s="269"/>
      <c r="HG164" s="264"/>
      <c r="HH164" s="265"/>
      <c r="HI164" s="266"/>
      <c r="HJ164" s="267"/>
      <c r="HK164" s="268"/>
      <c r="HL164" s="264"/>
      <c r="HM164" s="269"/>
      <c r="HN164" s="264"/>
      <c r="HO164" s="265"/>
      <c r="HP164" s="266"/>
      <c r="HQ164" s="267"/>
      <c r="HR164" s="268"/>
      <c r="HS164" s="264"/>
      <c r="HT164" s="269"/>
      <c r="HU164" s="264"/>
      <c r="HV164" s="265"/>
      <c r="HW164" s="266"/>
      <c r="HX164" s="267"/>
      <c r="HY164" s="268"/>
      <c r="HZ164" s="264"/>
      <c r="IA164" s="269"/>
      <c r="IB164" s="264"/>
      <c r="IC164" s="265"/>
      <c r="ID164" s="266"/>
      <c r="IE164" s="267"/>
      <c r="IF164" s="268"/>
      <c r="IG164" s="264"/>
      <c r="IH164" s="269"/>
      <c r="II164" s="264"/>
      <c r="IJ164" s="265"/>
      <c r="IK164" s="266"/>
      <c r="IL164" s="267"/>
      <c r="IM164" s="268"/>
    </row>
    <row r="165" spans="1:247" ht="33.75">
      <c r="A165" s="223">
        <v>91929</v>
      </c>
      <c r="B165" s="224" t="s">
        <v>438</v>
      </c>
      <c r="C165" s="30" t="s">
        <v>409</v>
      </c>
      <c r="D165" s="159" t="s">
        <v>249</v>
      </c>
      <c r="E165" s="225">
        <v>145</v>
      </c>
      <c r="F165" s="313">
        <f>VLOOKUP(A165,Insumos!$A:$D,4,0)</f>
        <v>5.33</v>
      </c>
      <c r="G165" s="226">
        <f t="shared" si="9"/>
        <v>772.85</v>
      </c>
      <c r="H165" s="267"/>
      <c r="I165" s="268"/>
      <c r="J165" s="264"/>
      <c r="K165" s="269"/>
      <c r="L165" s="264"/>
      <c r="M165" s="265"/>
      <c r="N165" s="266"/>
      <c r="O165" s="267"/>
      <c r="P165" s="268"/>
      <c r="Q165" s="264"/>
      <c r="R165" s="269"/>
      <c r="S165" s="264"/>
      <c r="T165" s="265"/>
      <c r="U165" s="266"/>
      <c r="V165" s="267"/>
      <c r="W165" s="268"/>
      <c r="X165" s="264"/>
      <c r="Y165" s="269"/>
      <c r="Z165" s="264"/>
      <c r="AA165" s="265"/>
      <c r="AB165" s="266"/>
      <c r="AC165" s="267"/>
      <c r="AD165" s="268"/>
      <c r="AE165" s="264"/>
      <c r="AF165" s="269"/>
      <c r="AG165" s="264"/>
      <c r="AH165" s="265"/>
      <c r="AI165" s="266"/>
      <c r="AJ165" s="267"/>
      <c r="AK165" s="268"/>
      <c r="AL165" s="264"/>
      <c r="AM165" s="269"/>
      <c r="AN165" s="264"/>
      <c r="AO165" s="265"/>
      <c r="AP165" s="266"/>
      <c r="AQ165" s="267"/>
      <c r="AR165" s="268"/>
      <c r="AS165" s="264"/>
      <c r="AT165" s="269"/>
      <c r="AU165" s="264"/>
      <c r="AV165" s="265"/>
      <c r="AW165" s="266"/>
      <c r="AX165" s="267"/>
      <c r="AY165" s="268"/>
      <c r="AZ165" s="264"/>
      <c r="BA165" s="269"/>
      <c r="BB165" s="264"/>
      <c r="BC165" s="265"/>
      <c r="BD165" s="266"/>
      <c r="BE165" s="267"/>
      <c r="BF165" s="268"/>
      <c r="BG165" s="264"/>
      <c r="BH165" s="269"/>
      <c r="BI165" s="264"/>
      <c r="BJ165" s="265"/>
      <c r="BK165" s="266"/>
      <c r="BL165" s="267"/>
      <c r="BM165" s="268"/>
      <c r="BN165" s="264"/>
      <c r="BO165" s="269"/>
      <c r="BP165" s="264"/>
      <c r="BQ165" s="265"/>
      <c r="BR165" s="266"/>
      <c r="BS165" s="267"/>
      <c r="BT165" s="268"/>
      <c r="BU165" s="264"/>
      <c r="BV165" s="269"/>
      <c r="BW165" s="264"/>
      <c r="BX165" s="265"/>
      <c r="BY165" s="266"/>
      <c r="BZ165" s="267"/>
      <c r="CA165" s="268"/>
      <c r="CB165" s="264"/>
      <c r="CC165" s="269"/>
      <c r="CD165" s="264"/>
      <c r="CE165" s="265"/>
      <c r="CF165" s="266"/>
      <c r="CG165" s="267"/>
      <c r="CH165" s="268"/>
      <c r="CI165" s="264"/>
      <c r="CJ165" s="269"/>
      <c r="CK165" s="264"/>
      <c r="CL165" s="265"/>
      <c r="CM165" s="266"/>
      <c r="CN165" s="267"/>
      <c r="CO165" s="268"/>
      <c r="CP165" s="264"/>
      <c r="CQ165" s="269"/>
      <c r="CR165" s="264"/>
      <c r="CS165" s="265"/>
      <c r="CT165" s="266"/>
      <c r="CU165" s="267"/>
      <c r="CV165" s="268"/>
      <c r="CW165" s="264"/>
      <c r="CX165" s="269"/>
      <c r="CY165" s="264"/>
      <c r="CZ165" s="265"/>
      <c r="DA165" s="266"/>
      <c r="DB165" s="267"/>
      <c r="DC165" s="268"/>
      <c r="DD165" s="264"/>
      <c r="DE165" s="269"/>
      <c r="DF165" s="264"/>
      <c r="DG165" s="265"/>
      <c r="DH165" s="266"/>
      <c r="DI165" s="267"/>
      <c r="DJ165" s="268"/>
      <c r="DK165" s="264"/>
      <c r="DL165" s="269"/>
      <c r="DM165" s="264"/>
      <c r="DN165" s="265"/>
      <c r="DO165" s="266"/>
      <c r="DP165" s="267"/>
      <c r="DQ165" s="268"/>
      <c r="DR165" s="264"/>
      <c r="DS165" s="269"/>
      <c r="DT165" s="264"/>
      <c r="DU165" s="265"/>
      <c r="DV165" s="266"/>
      <c r="DW165" s="267"/>
      <c r="DX165" s="268"/>
      <c r="DY165" s="264"/>
      <c r="DZ165" s="269"/>
      <c r="EA165" s="264"/>
      <c r="EB165" s="265"/>
      <c r="EC165" s="266"/>
      <c r="ED165" s="267"/>
      <c r="EE165" s="268"/>
      <c r="EF165" s="264"/>
      <c r="EG165" s="269"/>
      <c r="EH165" s="264"/>
      <c r="EI165" s="265"/>
      <c r="EJ165" s="266"/>
      <c r="EK165" s="267"/>
      <c r="EL165" s="268"/>
      <c r="EM165" s="264"/>
      <c r="EN165" s="269"/>
      <c r="EO165" s="264"/>
      <c r="EP165" s="265"/>
      <c r="EQ165" s="266"/>
      <c r="ER165" s="267"/>
      <c r="ES165" s="268"/>
      <c r="ET165" s="264"/>
      <c r="EU165" s="269"/>
      <c r="EV165" s="264"/>
      <c r="EW165" s="265"/>
      <c r="EX165" s="266"/>
      <c r="EY165" s="267"/>
      <c r="EZ165" s="268"/>
      <c r="FA165" s="264"/>
      <c r="FB165" s="269"/>
      <c r="FC165" s="264"/>
      <c r="FD165" s="265"/>
      <c r="FE165" s="266"/>
      <c r="FF165" s="267"/>
      <c r="FG165" s="268"/>
      <c r="FH165" s="264"/>
      <c r="FI165" s="269"/>
      <c r="FJ165" s="264"/>
      <c r="FK165" s="265"/>
      <c r="FL165" s="266"/>
      <c r="FM165" s="267"/>
      <c r="FN165" s="268"/>
      <c r="FO165" s="264"/>
      <c r="FP165" s="269"/>
      <c r="FQ165" s="264"/>
      <c r="FR165" s="265"/>
      <c r="FS165" s="266"/>
      <c r="FT165" s="267"/>
      <c r="FU165" s="268"/>
      <c r="FV165" s="264"/>
      <c r="FW165" s="269"/>
      <c r="FX165" s="264"/>
      <c r="FY165" s="265"/>
      <c r="FZ165" s="266"/>
      <c r="GA165" s="267"/>
      <c r="GB165" s="268"/>
      <c r="GC165" s="264"/>
      <c r="GD165" s="269"/>
      <c r="GE165" s="264"/>
      <c r="GF165" s="265"/>
      <c r="GG165" s="266"/>
      <c r="GH165" s="267"/>
      <c r="GI165" s="268"/>
      <c r="GJ165" s="264"/>
      <c r="GK165" s="269"/>
      <c r="GL165" s="264"/>
      <c r="GM165" s="265"/>
      <c r="GN165" s="266"/>
      <c r="GO165" s="267"/>
      <c r="GP165" s="268"/>
      <c r="GQ165" s="264"/>
      <c r="GR165" s="269"/>
      <c r="GS165" s="264"/>
      <c r="GT165" s="265"/>
      <c r="GU165" s="266"/>
      <c r="GV165" s="267"/>
      <c r="GW165" s="268"/>
      <c r="GX165" s="264"/>
      <c r="GY165" s="269"/>
      <c r="GZ165" s="264"/>
      <c r="HA165" s="265"/>
      <c r="HB165" s="266"/>
      <c r="HC165" s="267"/>
      <c r="HD165" s="268"/>
      <c r="HE165" s="264"/>
      <c r="HF165" s="269"/>
      <c r="HG165" s="264"/>
      <c r="HH165" s="265"/>
      <c r="HI165" s="266"/>
      <c r="HJ165" s="267"/>
      <c r="HK165" s="268"/>
      <c r="HL165" s="264"/>
      <c r="HM165" s="269"/>
      <c r="HN165" s="264"/>
      <c r="HO165" s="265"/>
      <c r="HP165" s="266"/>
      <c r="HQ165" s="267"/>
      <c r="HR165" s="268"/>
      <c r="HS165" s="264"/>
      <c r="HT165" s="269"/>
      <c r="HU165" s="264"/>
      <c r="HV165" s="265"/>
      <c r="HW165" s="266"/>
      <c r="HX165" s="267"/>
      <c r="HY165" s="268"/>
      <c r="HZ165" s="264"/>
      <c r="IA165" s="269"/>
      <c r="IB165" s="264"/>
      <c r="IC165" s="265"/>
      <c r="ID165" s="266"/>
      <c r="IE165" s="267"/>
      <c r="IF165" s="268"/>
      <c r="IG165" s="264"/>
      <c r="IH165" s="269"/>
      <c r="II165" s="264"/>
      <c r="IJ165" s="265"/>
      <c r="IK165" s="266"/>
      <c r="IL165" s="267"/>
      <c r="IM165" s="268"/>
    </row>
    <row r="166" spans="1:247" ht="33.75">
      <c r="A166" s="223">
        <v>91926</v>
      </c>
      <c r="B166" s="224" t="s">
        <v>443</v>
      </c>
      <c r="C166" s="30" t="str">
        <f>VLOOKUP(A166,Insumos!$A:$D,2,0)</f>
        <v>Cabo de cobre flexível isolado, 2,5 mm², anti-chama 450/750V, para circuitos terminais - fornecimento e instalação</v>
      </c>
      <c r="D166" s="159" t="str">
        <f>VLOOKUP(A166,Insumos!$A:$D,3,0)</f>
        <v>m</v>
      </c>
      <c r="E166" s="225">
        <v>928</v>
      </c>
      <c r="F166" s="313">
        <f>VLOOKUP(A166,Insumos!$A:$D,4,0)</f>
        <v>2.94</v>
      </c>
      <c r="G166" s="226">
        <f t="shared" si="9"/>
        <v>2728.32</v>
      </c>
      <c r="H166" s="267"/>
      <c r="I166" s="268"/>
      <c r="J166" s="264"/>
      <c r="K166" s="269"/>
      <c r="L166" s="264"/>
      <c r="M166" s="265"/>
      <c r="N166" s="266"/>
      <c r="O166" s="267"/>
      <c r="P166" s="268"/>
      <c r="Q166" s="264"/>
      <c r="R166" s="269"/>
      <c r="S166" s="264"/>
      <c r="T166" s="265"/>
      <c r="U166" s="266"/>
      <c r="V166" s="267"/>
      <c r="W166" s="268"/>
      <c r="X166" s="264"/>
      <c r="Y166" s="269"/>
      <c r="Z166" s="264"/>
      <c r="AA166" s="265"/>
      <c r="AB166" s="266"/>
      <c r="AC166" s="267"/>
      <c r="AD166" s="268"/>
      <c r="AE166" s="264"/>
      <c r="AF166" s="269"/>
      <c r="AG166" s="264"/>
      <c r="AH166" s="265"/>
      <c r="AI166" s="266"/>
      <c r="AJ166" s="267"/>
      <c r="AK166" s="268"/>
      <c r="AL166" s="264"/>
      <c r="AM166" s="269"/>
      <c r="AN166" s="264"/>
      <c r="AO166" s="265"/>
      <c r="AP166" s="266"/>
      <c r="AQ166" s="267"/>
      <c r="AR166" s="268"/>
      <c r="AS166" s="264"/>
      <c r="AT166" s="269"/>
      <c r="AU166" s="264"/>
      <c r="AV166" s="265"/>
      <c r="AW166" s="266"/>
      <c r="AX166" s="267"/>
      <c r="AY166" s="268"/>
      <c r="AZ166" s="264"/>
      <c r="BA166" s="269"/>
      <c r="BB166" s="264"/>
      <c r="BC166" s="265"/>
      <c r="BD166" s="266"/>
      <c r="BE166" s="267"/>
      <c r="BF166" s="268"/>
      <c r="BG166" s="264"/>
      <c r="BH166" s="269"/>
      <c r="BI166" s="264"/>
      <c r="BJ166" s="265"/>
      <c r="BK166" s="266"/>
      <c r="BL166" s="267"/>
      <c r="BM166" s="268"/>
      <c r="BN166" s="264"/>
      <c r="BO166" s="269"/>
      <c r="BP166" s="264"/>
      <c r="BQ166" s="265"/>
      <c r="BR166" s="266"/>
      <c r="BS166" s="267"/>
      <c r="BT166" s="268"/>
      <c r="BU166" s="264"/>
      <c r="BV166" s="269"/>
      <c r="BW166" s="264"/>
      <c r="BX166" s="265"/>
      <c r="BY166" s="266"/>
      <c r="BZ166" s="267"/>
      <c r="CA166" s="268"/>
      <c r="CB166" s="264"/>
      <c r="CC166" s="269"/>
      <c r="CD166" s="264"/>
      <c r="CE166" s="265"/>
      <c r="CF166" s="266"/>
      <c r="CG166" s="267"/>
      <c r="CH166" s="268"/>
      <c r="CI166" s="264"/>
      <c r="CJ166" s="269"/>
      <c r="CK166" s="264"/>
      <c r="CL166" s="265"/>
      <c r="CM166" s="266"/>
      <c r="CN166" s="267"/>
      <c r="CO166" s="268"/>
      <c r="CP166" s="264"/>
      <c r="CQ166" s="269"/>
      <c r="CR166" s="264"/>
      <c r="CS166" s="265"/>
      <c r="CT166" s="266"/>
      <c r="CU166" s="267"/>
      <c r="CV166" s="268"/>
      <c r="CW166" s="264"/>
      <c r="CX166" s="269"/>
      <c r="CY166" s="264"/>
      <c r="CZ166" s="265"/>
      <c r="DA166" s="266"/>
      <c r="DB166" s="267"/>
      <c r="DC166" s="268"/>
      <c r="DD166" s="264"/>
      <c r="DE166" s="269"/>
      <c r="DF166" s="264"/>
      <c r="DG166" s="265"/>
      <c r="DH166" s="266"/>
      <c r="DI166" s="267"/>
      <c r="DJ166" s="268"/>
      <c r="DK166" s="264"/>
      <c r="DL166" s="269"/>
      <c r="DM166" s="264"/>
      <c r="DN166" s="265"/>
      <c r="DO166" s="266"/>
      <c r="DP166" s="267"/>
      <c r="DQ166" s="268"/>
      <c r="DR166" s="264"/>
      <c r="DS166" s="269"/>
      <c r="DT166" s="264"/>
      <c r="DU166" s="265"/>
      <c r="DV166" s="266"/>
      <c r="DW166" s="267"/>
      <c r="DX166" s="268"/>
      <c r="DY166" s="264"/>
      <c r="DZ166" s="269"/>
      <c r="EA166" s="264"/>
      <c r="EB166" s="265"/>
      <c r="EC166" s="266"/>
      <c r="ED166" s="267"/>
      <c r="EE166" s="268"/>
      <c r="EF166" s="264"/>
      <c r="EG166" s="269"/>
      <c r="EH166" s="264"/>
      <c r="EI166" s="265"/>
      <c r="EJ166" s="266"/>
      <c r="EK166" s="267"/>
      <c r="EL166" s="268"/>
      <c r="EM166" s="264"/>
      <c r="EN166" s="269"/>
      <c r="EO166" s="264"/>
      <c r="EP166" s="265"/>
      <c r="EQ166" s="266"/>
      <c r="ER166" s="267"/>
      <c r="ES166" s="268"/>
      <c r="ET166" s="264"/>
      <c r="EU166" s="269"/>
      <c r="EV166" s="264"/>
      <c r="EW166" s="265"/>
      <c r="EX166" s="266"/>
      <c r="EY166" s="267"/>
      <c r="EZ166" s="268"/>
      <c r="FA166" s="264"/>
      <c r="FB166" s="269"/>
      <c r="FC166" s="264"/>
      <c r="FD166" s="265"/>
      <c r="FE166" s="266"/>
      <c r="FF166" s="267"/>
      <c r="FG166" s="268"/>
      <c r="FH166" s="264"/>
      <c r="FI166" s="269"/>
      <c r="FJ166" s="264"/>
      <c r="FK166" s="265"/>
      <c r="FL166" s="266"/>
      <c r="FM166" s="267"/>
      <c r="FN166" s="268"/>
      <c r="FO166" s="264"/>
      <c r="FP166" s="269"/>
      <c r="FQ166" s="264"/>
      <c r="FR166" s="265"/>
      <c r="FS166" s="266"/>
      <c r="FT166" s="267"/>
      <c r="FU166" s="268"/>
      <c r="FV166" s="264"/>
      <c r="FW166" s="269"/>
      <c r="FX166" s="264"/>
      <c r="FY166" s="265"/>
      <c r="FZ166" s="266"/>
      <c r="GA166" s="267"/>
      <c r="GB166" s="268"/>
      <c r="GC166" s="264"/>
      <c r="GD166" s="269"/>
      <c r="GE166" s="264"/>
      <c r="GF166" s="265"/>
      <c r="GG166" s="266"/>
      <c r="GH166" s="267"/>
      <c r="GI166" s="268"/>
      <c r="GJ166" s="264"/>
      <c r="GK166" s="269"/>
      <c r="GL166" s="264"/>
      <c r="GM166" s="265"/>
      <c r="GN166" s="266"/>
      <c r="GO166" s="267"/>
      <c r="GP166" s="268"/>
      <c r="GQ166" s="264"/>
      <c r="GR166" s="269"/>
      <c r="GS166" s="264"/>
      <c r="GT166" s="265"/>
      <c r="GU166" s="266"/>
      <c r="GV166" s="267"/>
      <c r="GW166" s="268"/>
      <c r="GX166" s="264"/>
      <c r="GY166" s="269"/>
      <c r="GZ166" s="264"/>
      <c r="HA166" s="265"/>
      <c r="HB166" s="266"/>
      <c r="HC166" s="267"/>
      <c r="HD166" s="268"/>
      <c r="HE166" s="264"/>
      <c r="HF166" s="269"/>
      <c r="HG166" s="264"/>
      <c r="HH166" s="265"/>
      <c r="HI166" s="266"/>
      <c r="HJ166" s="267"/>
      <c r="HK166" s="268"/>
      <c r="HL166" s="264"/>
      <c r="HM166" s="269"/>
      <c r="HN166" s="264"/>
      <c r="HO166" s="265"/>
      <c r="HP166" s="266"/>
      <c r="HQ166" s="267"/>
      <c r="HR166" s="268"/>
      <c r="HS166" s="264"/>
      <c r="HT166" s="269"/>
      <c r="HU166" s="264"/>
      <c r="HV166" s="265"/>
      <c r="HW166" s="266"/>
      <c r="HX166" s="267"/>
      <c r="HY166" s="268"/>
      <c r="HZ166" s="264"/>
      <c r="IA166" s="269"/>
      <c r="IB166" s="264"/>
      <c r="IC166" s="265"/>
      <c r="ID166" s="266"/>
      <c r="IE166" s="267"/>
      <c r="IF166" s="268"/>
      <c r="IG166" s="264"/>
      <c r="IH166" s="269"/>
      <c r="II166" s="264"/>
      <c r="IJ166" s="265"/>
      <c r="IK166" s="266"/>
      <c r="IL166" s="267"/>
      <c r="IM166" s="268"/>
    </row>
    <row r="167" spans="1:247" ht="33.75">
      <c r="A167" s="223">
        <v>95815</v>
      </c>
      <c r="B167" s="224" t="s">
        <v>444</v>
      </c>
      <c r="C167" s="30" t="str">
        <f>VLOOKUP(A167,Insumos!$A:$D,2,0)</f>
        <v>Condulete de pvc, tipo TB, para eletroduto de PVC soldável DN 32 mm (1''), aparente - fornecimento e instalação. AF_11/2016</v>
      </c>
      <c r="D167" s="159" t="str">
        <f>VLOOKUP(A167,Insumos!$A:$D,3,0)</f>
        <v>un</v>
      </c>
      <c r="E167" s="225">
        <v>1</v>
      </c>
      <c r="F167" s="313">
        <f>VLOOKUP(A167,Insumos!$A:$D,4,0)</f>
        <v>17.48</v>
      </c>
      <c r="G167" s="226">
        <f>ROUND(E167*F167,2)</f>
        <v>17.48</v>
      </c>
      <c r="H167" s="267"/>
      <c r="I167" s="268"/>
      <c r="J167" s="264"/>
      <c r="K167" s="269"/>
      <c r="L167" s="264"/>
      <c r="M167" s="265"/>
      <c r="N167" s="266"/>
      <c r="O167" s="267"/>
      <c r="P167" s="268"/>
      <c r="Q167" s="264"/>
      <c r="R167" s="269"/>
      <c r="S167" s="264"/>
      <c r="T167" s="265"/>
      <c r="U167" s="266"/>
      <c r="V167" s="267"/>
      <c r="W167" s="268"/>
      <c r="X167" s="264"/>
      <c r="Y167" s="269"/>
      <c r="Z167" s="264"/>
      <c r="AA167" s="265"/>
      <c r="AB167" s="266"/>
      <c r="AC167" s="267"/>
      <c r="AD167" s="268"/>
      <c r="AE167" s="264"/>
      <c r="AF167" s="269"/>
      <c r="AG167" s="264"/>
      <c r="AH167" s="265"/>
      <c r="AI167" s="266"/>
      <c r="AJ167" s="267"/>
      <c r="AK167" s="268"/>
      <c r="AL167" s="264"/>
      <c r="AM167" s="269"/>
      <c r="AN167" s="264"/>
      <c r="AO167" s="265"/>
      <c r="AP167" s="266"/>
      <c r="AQ167" s="267"/>
      <c r="AR167" s="268"/>
      <c r="AS167" s="264"/>
      <c r="AT167" s="269"/>
      <c r="AU167" s="264"/>
      <c r="AV167" s="265"/>
      <c r="AW167" s="266"/>
      <c r="AX167" s="267"/>
      <c r="AY167" s="268"/>
      <c r="AZ167" s="264"/>
      <c r="BA167" s="269"/>
      <c r="BB167" s="264"/>
      <c r="BC167" s="265"/>
      <c r="BD167" s="266"/>
      <c r="BE167" s="267"/>
      <c r="BF167" s="268"/>
      <c r="BG167" s="264"/>
      <c r="BH167" s="269"/>
      <c r="BI167" s="264"/>
      <c r="BJ167" s="265"/>
      <c r="BK167" s="266"/>
      <c r="BL167" s="267"/>
      <c r="BM167" s="268"/>
      <c r="BN167" s="264"/>
      <c r="BO167" s="269"/>
      <c r="BP167" s="264"/>
      <c r="BQ167" s="265"/>
      <c r="BR167" s="266"/>
      <c r="BS167" s="267"/>
      <c r="BT167" s="268"/>
      <c r="BU167" s="264"/>
      <c r="BV167" s="269"/>
      <c r="BW167" s="264"/>
      <c r="BX167" s="265"/>
      <c r="BY167" s="266"/>
      <c r="BZ167" s="267"/>
      <c r="CA167" s="268"/>
      <c r="CB167" s="264"/>
      <c r="CC167" s="269"/>
      <c r="CD167" s="264"/>
      <c r="CE167" s="265"/>
      <c r="CF167" s="266"/>
      <c r="CG167" s="267"/>
      <c r="CH167" s="268"/>
      <c r="CI167" s="264"/>
      <c r="CJ167" s="269"/>
      <c r="CK167" s="264"/>
      <c r="CL167" s="265"/>
      <c r="CM167" s="266"/>
      <c r="CN167" s="267"/>
      <c r="CO167" s="268"/>
      <c r="CP167" s="264"/>
      <c r="CQ167" s="269"/>
      <c r="CR167" s="264"/>
      <c r="CS167" s="265"/>
      <c r="CT167" s="266"/>
      <c r="CU167" s="267"/>
      <c r="CV167" s="268"/>
      <c r="CW167" s="264"/>
      <c r="CX167" s="269"/>
      <c r="CY167" s="264"/>
      <c r="CZ167" s="265"/>
      <c r="DA167" s="266"/>
      <c r="DB167" s="267"/>
      <c r="DC167" s="268"/>
      <c r="DD167" s="264"/>
      <c r="DE167" s="269"/>
      <c r="DF167" s="264"/>
      <c r="DG167" s="265"/>
      <c r="DH167" s="266"/>
      <c r="DI167" s="267"/>
      <c r="DJ167" s="268"/>
      <c r="DK167" s="264"/>
      <c r="DL167" s="269"/>
      <c r="DM167" s="264"/>
      <c r="DN167" s="265"/>
      <c r="DO167" s="266"/>
      <c r="DP167" s="267"/>
      <c r="DQ167" s="268"/>
      <c r="DR167" s="264"/>
      <c r="DS167" s="269"/>
      <c r="DT167" s="264"/>
      <c r="DU167" s="265"/>
      <c r="DV167" s="266"/>
      <c r="DW167" s="267"/>
      <c r="DX167" s="268"/>
      <c r="DY167" s="264"/>
      <c r="DZ167" s="269"/>
      <c r="EA167" s="264"/>
      <c r="EB167" s="265"/>
      <c r="EC167" s="266"/>
      <c r="ED167" s="267"/>
      <c r="EE167" s="268"/>
      <c r="EF167" s="264"/>
      <c r="EG167" s="269"/>
      <c r="EH167" s="264"/>
      <c r="EI167" s="265"/>
      <c r="EJ167" s="266"/>
      <c r="EK167" s="267"/>
      <c r="EL167" s="268"/>
      <c r="EM167" s="264"/>
      <c r="EN167" s="269"/>
      <c r="EO167" s="264"/>
      <c r="EP167" s="265"/>
      <c r="EQ167" s="266"/>
      <c r="ER167" s="267"/>
      <c r="ES167" s="268"/>
      <c r="ET167" s="264"/>
      <c r="EU167" s="269"/>
      <c r="EV167" s="264"/>
      <c r="EW167" s="265"/>
      <c r="EX167" s="266"/>
      <c r="EY167" s="267"/>
      <c r="EZ167" s="268"/>
      <c r="FA167" s="264"/>
      <c r="FB167" s="269"/>
      <c r="FC167" s="264"/>
      <c r="FD167" s="265"/>
      <c r="FE167" s="266"/>
      <c r="FF167" s="267"/>
      <c r="FG167" s="268"/>
      <c r="FH167" s="264"/>
      <c r="FI167" s="269"/>
      <c r="FJ167" s="264"/>
      <c r="FK167" s="265"/>
      <c r="FL167" s="266"/>
      <c r="FM167" s="267"/>
      <c r="FN167" s="268"/>
      <c r="FO167" s="264"/>
      <c r="FP167" s="269"/>
      <c r="FQ167" s="264"/>
      <c r="FR167" s="265"/>
      <c r="FS167" s="266"/>
      <c r="FT167" s="267"/>
      <c r="FU167" s="268"/>
      <c r="FV167" s="264"/>
      <c r="FW167" s="269"/>
      <c r="FX167" s="264"/>
      <c r="FY167" s="265"/>
      <c r="FZ167" s="266"/>
      <c r="GA167" s="267"/>
      <c r="GB167" s="268"/>
      <c r="GC167" s="264"/>
      <c r="GD167" s="269"/>
      <c r="GE167" s="264"/>
      <c r="GF167" s="265"/>
      <c r="GG167" s="266"/>
      <c r="GH167" s="267"/>
      <c r="GI167" s="268"/>
      <c r="GJ167" s="264"/>
      <c r="GK167" s="269"/>
      <c r="GL167" s="264"/>
      <c r="GM167" s="265"/>
      <c r="GN167" s="266"/>
      <c r="GO167" s="267"/>
      <c r="GP167" s="268"/>
      <c r="GQ167" s="264"/>
      <c r="GR167" s="269"/>
      <c r="GS167" s="264"/>
      <c r="GT167" s="265"/>
      <c r="GU167" s="266"/>
      <c r="GV167" s="267"/>
      <c r="GW167" s="268"/>
      <c r="GX167" s="264"/>
      <c r="GY167" s="269"/>
      <c r="GZ167" s="264"/>
      <c r="HA167" s="265"/>
      <c r="HB167" s="266"/>
      <c r="HC167" s="267"/>
      <c r="HD167" s="268"/>
      <c r="HE167" s="264"/>
      <c r="HF167" s="269"/>
      <c r="HG167" s="264"/>
      <c r="HH167" s="265"/>
      <c r="HI167" s="266"/>
      <c r="HJ167" s="267"/>
      <c r="HK167" s="268"/>
      <c r="HL167" s="264"/>
      <c r="HM167" s="269"/>
      <c r="HN167" s="264"/>
      <c r="HO167" s="265"/>
      <c r="HP167" s="266"/>
      <c r="HQ167" s="267"/>
      <c r="HR167" s="268"/>
      <c r="HS167" s="264"/>
      <c r="HT167" s="269"/>
      <c r="HU167" s="264"/>
      <c r="HV167" s="265"/>
      <c r="HW167" s="266"/>
      <c r="HX167" s="267"/>
      <c r="HY167" s="268"/>
      <c r="HZ167" s="264"/>
      <c r="IA167" s="269"/>
      <c r="IB167" s="264"/>
      <c r="IC167" s="265"/>
      <c r="ID167" s="266"/>
      <c r="IE167" s="267"/>
      <c r="IF167" s="268"/>
      <c r="IG167" s="264"/>
      <c r="IH167" s="269"/>
      <c r="II167" s="264"/>
      <c r="IJ167" s="265"/>
      <c r="IK167" s="266"/>
      <c r="IL167" s="267"/>
      <c r="IM167" s="268"/>
    </row>
    <row r="168" spans="1:247" ht="33.75">
      <c r="A168" s="223">
        <v>95805</v>
      </c>
      <c r="B168" s="224" t="s">
        <v>25</v>
      </c>
      <c r="C168" s="30" t="str">
        <f>VLOOKUP(A168,Insumos!$A:$D,2,0)</f>
        <v>Condulete de pvc, tipo B, para eletroduto de PVC soldável dn 25 mm (3/4''), aparente - fornecimento e instalação</v>
      </c>
      <c r="D168" s="159" t="str">
        <f>VLOOKUP(A168,Insumos!$A:$D,3,0)</f>
        <v>un</v>
      </c>
      <c r="E168" s="225">
        <v>4</v>
      </c>
      <c r="F168" s="313">
        <f>VLOOKUP(A168,Insumos!$A:$D,4,0)</f>
        <v>18.31</v>
      </c>
      <c r="G168" s="226">
        <f>ROUND(E168*F168,2)</f>
        <v>73.24</v>
      </c>
      <c r="H168" s="267"/>
      <c r="I168" s="268"/>
      <c r="J168" s="264"/>
      <c r="K168" s="269"/>
      <c r="L168" s="264"/>
      <c r="M168" s="265"/>
      <c r="N168" s="266"/>
      <c r="O168" s="267"/>
      <c r="P168" s="268"/>
      <c r="Q168" s="264"/>
      <c r="R168" s="269"/>
      <c r="S168" s="264"/>
      <c r="T168" s="265"/>
      <c r="U168" s="266"/>
      <c r="V168" s="267"/>
      <c r="W168" s="268"/>
      <c r="X168" s="264"/>
      <c r="Y168" s="269"/>
      <c r="Z168" s="264"/>
      <c r="AA168" s="265"/>
      <c r="AB168" s="266"/>
      <c r="AC168" s="267"/>
      <c r="AD168" s="268"/>
      <c r="AE168" s="264"/>
      <c r="AF168" s="269"/>
      <c r="AG168" s="264"/>
      <c r="AH168" s="265"/>
      <c r="AI168" s="266"/>
      <c r="AJ168" s="267"/>
      <c r="AK168" s="268"/>
      <c r="AL168" s="264"/>
      <c r="AM168" s="269"/>
      <c r="AN168" s="264"/>
      <c r="AO168" s="265"/>
      <c r="AP168" s="266"/>
      <c r="AQ168" s="267"/>
      <c r="AR168" s="268"/>
      <c r="AS168" s="264"/>
      <c r="AT168" s="269"/>
      <c r="AU168" s="264"/>
      <c r="AV168" s="265"/>
      <c r="AW168" s="266"/>
      <c r="AX168" s="267"/>
      <c r="AY168" s="268"/>
      <c r="AZ168" s="264"/>
      <c r="BA168" s="269"/>
      <c r="BB168" s="264"/>
      <c r="BC168" s="265"/>
      <c r="BD168" s="266"/>
      <c r="BE168" s="267"/>
      <c r="BF168" s="268"/>
      <c r="BG168" s="264"/>
      <c r="BH168" s="269"/>
      <c r="BI168" s="264"/>
      <c r="BJ168" s="265"/>
      <c r="BK168" s="266"/>
      <c r="BL168" s="267"/>
      <c r="BM168" s="268"/>
      <c r="BN168" s="264"/>
      <c r="BO168" s="269"/>
      <c r="BP168" s="264"/>
      <c r="BQ168" s="265"/>
      <c r="BR168" s="266"/>
      <c r="BS168" s="267"/>
      <c r="BT168" s="268"/>
      <c r="BU168" s="264"/>
      <c r="BV168" s="269"/>
      <c r="BW168" s="264"/>
      <c r="BX168" s="265"/>
      <c r="BY168" s="266"/>
      <c r="BZ168" s="267"/>
      <c r="CA168" s="268"/>
      <c r="CB168" s="264"/>
      <c r="CC168" s="269"/>
      <c r="CD168" s="264"/>
      <c r="CE168" s="265"/>
      <c r="CF168" s="266"/>
      <c r="CG168" s="267"/>
      <c r="CH168" s="268"/>
      <c r="CI168" s="264"/>
      <c r="CJ168" s="269"/>
      <c r="CK168" s="264"/>
      <c r="CL168" s="265"/>
      <c r="CM168" s="266"/>
      <c r="CN168" s="267"/>
      <c r="CO168" s="268"/>
      <c r="CP168" s="264"/>
      <c r="CQ168" s="269"/>
      <c r="CR168" s="264"/>
      <c r="CS168" s="265"/>
      <c r="CT168" s="266"/>
      <c r="CU168" s="267"/>
      <c r="CV168" s="268"/>
      <c r="CW168" s="264"/>
      <c r="CX168" s="269"/>
      <c r="CY168" s="264"/>
      <c r="CZ168" s="265"/>
      <c r="DA168" s="266"/>
      <c r="DB168" s="267"/>
      <c r="DC168" s="268"/>
      <c r="DD168" s="264"/>
      <c r="DE168" s="269"/>
      <c r="DF168" s="264"/>
      <c r="DG168" s="265"/>
      <c r="DH168" s="266"/>
      <c r="DI168" s="267"/>
      <c r="DJ168" s="268"/>
      <c r="DK168" s="264"/>
      <c r="DL168" s="269"/>
      <c r="DM168" s="264"/>
      <c r="DN168" s="265"/>
      <c r="DO168" s="266"/>
      <c r="DP168" s="267"/>
      <c r="DQ168" s="268"/>
      <c r="DR168" s="264"/>
      <c r="DS168" s="269"/>
      <c r="DT168" s="264"/>
      <c r="DU168" s="265"/>
      <c r="DV168" s="266"/>
      <c r="DW168" s="267"/>
      <c r="DX168" s="268"/>
      <c r="DY168" s="264"/>
      <c r="DZ168" s="269"/>
      <c r="EA168" s="264"/>
      <c r="EB168" s="265"/>
      <c r="EC168" s="266"/>
      <c r="ED168" s="267"/>
      <c r="EE168" s="268"/>
      <c r="EF168" s="264"/>
      <c r="EG168" s="269"/>
      <c r="EH168" s="264"/>
      <c r="EI168" s="265"/>
      <c r="EJ168" s="266"/>
      <c r="EK168" s="267"/>
      <c r="EL168" s="268"/>
      <c r="EM168" s="264"/>
      <c r="EN168" s="269"/>
      <c r="EO168" s="264"/>
      <c r="EP168" s="265"/>
      <c r="EQ168" s="266"/>
      <c r="ER168" s="267"/>
      <c r="ES168" s="268"/>
      <c r="ET168" s="264"/>
      <c r="EU168" s="269"/>
      <c r="EV168" s="264"/>
      <c r="EW168" s="265"/>
      <c r="EX168" s="266"/>
      <c r="EY168" s="267"/>
      <c r="EZ168" s="268"/>
      <c r="FA168" s="264"/>
      <c r="FB168" s="269"/>
      <c r="FC168" s="264"/>
      <c r="FD168" s="265"/>
      <c r="FE168" s="266"/>
      <c r="FF168" s="267"/>
      <c r="FG168" s="268"/>
      <c r="FH168" s="264"/>
      <c r="FI168" s="269"/>
      <c r="FJ168" s="264"/>
      <c r="FK168" s="265"/>
      <c r="FL168" s="266"/>
      <c r="FM168" s="267"/>
      <c r="FN168" s="268"/>
      <c r="FO168" s="264"/>
      <c r="FP168" s="269"/>
      <c r="FQ168" s="264"/>
      <c r="FR168" s="265"/>
      <c r="FS168" s="266"/>
      <c r="FT168" s="267"/>
      <c r="FU168" s="268"/>
      <c r="FV168" s="264"/>
      <c r="FW168" s="269"/>
      <c r="FX168" s="264"/>
      <c r="FY168" s="265"/>
      <c r="FZ168" s="266"/>
      <c r="GA168" s="267"/>
      <c r="GB168" s="268"/>
      <c r="GC168" s="264"/>
      <c r="GD168" s="269"/>
      <c r="GE168" s="264"/>
      <c r="GF168" s="265"/>
      <c r="GG168" s="266"/>
      <c r="GH168" s="267"/>
      <c r="GI168" s="268"/>
      <c r="GJ168" s="264"/>
      <c r="GK168" s="269"/>
      <c r="GL168" s="264"/>
      <c r="GM168" s="265"/>
      <c r="GN168" s="266"/>
      <c r="GO168" s="267"/>
      <c r="GP168" s="268"/>
      <c r="GQ168" s="264"/>
      <c r="GR168" s="269"/>
      <c r="GS168" s="264"/>
      <c r="GT168" s="265"/>
      <c r="GU168" s="266"/>
      <c r="GV168" s="267"/>
      <c r="GW168" s="268"/>
      <c r="GX168" s="264"/>
      <c r="GY168" s="269"/>
      <c r="GZ168" s="264"/>
      <c r="HA168" s="265"/>
      <c r="HB168" s="266"/>
      <c r="HC168" s="267"/>
      <c r="HD168" s="268"/>
      <c r="HE168" s="264"/>
      <c r="HF168" s="269"/>
      <c r="HG168" s="264"/>
      <c r="HH168" s="265"/>
      <c r="HI168" s="266"/>
      <c r="HJ168" s="267"/>
      <c r="HK168" s="268"/>
      <c r="HL168" s="264"/>
      <c r="HM168" s="269"/>
      <c r="HN168" s="264"/>
      <c r="HO168" s="265"/>
      <c r="HP168" s="266"/>
      <c r="HQ168" s="267"/>
      <c r="HR168" s="268"/>
      <c r="HS168" s="264"/>
      <c r="HT168" s="269"/>
      <c r="HU168" s="264"/>
      <c r="HV168" s="265"/>
      <c r="HW168" s="266"/>
      <c r="HX168" s="267"/>
      <c r="HY168" s="268"/>
      <c r="HZ168" s="264"/>
      <c r="IA168" s="269"/>
      <c r="IB168" s="264"/>
      <c r="IC168" s="265"/>
      <c r="ID168" s="266"/>
      <c r="IE168" s="267"/>
      <c r="IF168" s="268"/>
      <c r="IG168" s="264"/>
      <c r="IH168" s="269"/>
      <c r="II168" s="264"/>
      <c r="IJ168" s="265"/>
      <c r="IK168" s="266"/>
      <c r="IL168" s="267"/>
      <c r="IM168" s="268"/>
    </row>
    <row r="169" spans="1:160" s="49" customFormat="1" ht="12.75">
      <c r="A169" s="203"/>
      <c r="B169" s="204" t="s">
        <v>276</v>
      </c>
      <c r="C169" s="242" t="s">
        <v>252</v>
      </c>
      <c r="D169" s="206"/>
      <c r="E169" s="207"/>
      <c r="F169" s="57"/>
      <c r="G169" s="207">
        <f>SUM(G170:G171)/2</f>
        <v>3359.2</v>
      </c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</row>
    <row r="170" spans="1:7" ht="12.75">
      <c r="A170" s="208"/>
      <c r="B170" s="233" t="s">
        <v>265</v>
      </c>
      <c r="C170" s="210" t="s">
        <v>171</v>
      </c>
      <c r="D170" s="234"/>
      <c r="E170" s="235"/>
      <c r="F170" s="249"/>
      <c r="G170" s="217">
        <f>SUM(G171:G171)</f>
        <v>3359.2</v>
      </c>
    </row>
    <row r="171" spans="1:7" ht="12.75">
      <c r="A171" s="223" t="str">
        <f>"CCU"&amp;B171</f>
        <v>CCU09.02.001</v>
      </c>
      <c r="B171" s="224" t="s">
        <v>266</v>
      </c>
      <c r="C171" s="30" t="s">
        <v>204</v>
      </c>
      <c r="D171" s="159" t="s">
        <v>248</v>
      </c>
      <c r="E171" s="225">
        <v>304</v>
      </c>
      <c r="F171" s="313">
        <f>VLOOKUP(A171,'CCU''s'!$A:$G,7,0)</f>
        <v>11.05</v>
      </c>
      <c r="G171" s="226">
        <f>ROUND(E171*F171,2)</f>
        <v>3359.2</v>
      </c>
    </row>
    <row r="172" spans="1:160" s="49" customFormat="1" ht="12.75">
      <c r="A172" s="203"/>
      <c r="B172" s="204" t="s">
        <v>277</v>
      </c>
      <c r="C172" s="242" t="s">
        <v>278</v>
      </c>
      <c r="D172" s="206"/>
      <c r="E172" s="207"/>
      <c r="F172" s="57"/>
      <c r="G172" s="207">
        <f>SUM(G173:G175)/2</f>
        <v>16377.27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</row>
    <row r="173" spans="1:7" ht="12.75">
      <c r="A173" s="208"/>
      <c r="B173" s="233" t="s">
        <v>267</v>
      </c>
      <c r="C173" s="210" t="s">
        <v>172</v>
      </c>
      <c r="D173" s="234"/>
      <c r="E173" s="235"/>
      <c r="F173" s="249"/>
      <c r="G173" s="217">
        <f>SUM(G174:G175)</f>
        <v>16377.27</v>
      </c>
    </row>
    <row r="174" spans="1:7" ht="22.5">
      <c r="A174" s="223">
        <v>93572</v>
      </c>
      <c r="B174" s="224" t="s">
        <v>268</v>
      </c>
      <c r="C174" s="30" t="str">
        <f>VLOOKUP(A174,Insumos!$A:$D,2,0)</f>
        <v>Encarregado geral de obras com encargos complementares</v>
      </c>
      <c r="D174" s="159" t="str">
        <f>VLOOKUP(A174,Insumos!$A:$D,3,0)</f>
        <v>mês</v>
      </c>
      <c r="E174" s="225">
        <v>3</v>
      </c>
      <c r="F174" s="313">
        <f>VLOOKUP(A174,Insumos!$A:$D,4,0)</f>
        <v>3795.09</v>
      </c>
      <c r="G174" s="226">
        <f>ROUND(E174*F174,2)</f>
        <v>11385.27</v>
      </c>
    </row>
    <row r="175" spans="1:7" ht="22.5">
      <c r="A175" s="326">
        <v>90778</v>
      </c>
      <c r="B175" s="327" t="s">
        <v>424</v>
      </c>
      <c r="C175" s="328" t="str">
        <f>VLOOKUP(A175,Insumos!$A:$D,2,0)</f>
        <v>Engenheiro civil de obra pleno com encargos complementares</v>
      </c>
      <c r="D175" s="329" t="str">
        <f>VLOOKUP(A175,Insumos!$A:$D,3,0)</f>
        <v>h</v>
      </c>
      <c r="E175" s="330">
        <v>52</v>
      </c>
      <c r="F175" s="331">
        <f>VLOOKUP(A175,Insumos!$A:$D,4,0)</f>
        <v>96</v>
      </c>
      <c r="G175" s="332">
        <f>ROUND(E175*F175,2)</f>
        <v>4992</v>
      </c>
    </row>
    <row r="176" spans="1:7" ht="12.75">
      <c r="A176" s="314"/>
      <c r="B176" s="410" t="s">
        <v>253</v>
      </c>
      <c r="C176" s="410"/>
      <c r="D176" s="410"/>
      <c r="E176" s="410"/>
      <c r="F176" s="410"/>
      <c r="G176" s="315">
        <f>SUM(G10:G175)/3</f>
        <v>169895.82</v>
      </c>
    </row>
    <row r="177" spans="1:7" ht="12.75">
      <c r="A177" s="316">
        <f>1-A178</f>
        <v>1</v>
      </c>
      <c r="B177" s="411" t="s">
        <v>254</v>
      </c>
      <c r="C177" s="411"/>
      <c r="D177" s="411"/>
      <c r="E177" s="411"/>
      <c r="F177" s="411"/>
      <c r="G177" s="317">
        <f>G176-G178</f>
        <v>169895.82</v>
      </c>
    </row>
    <row r="178" spans="1:187" ht="12.75">
      <c r="A178" s="403"/>
      <c r="B178" s="411" t="str">
        <f>CONCATENATE("MÃO-DE-OBRA C/ ENCARGOS (",'Composição de Encargos Sociais'!D45*100,"%)")</f>
        <v>MÃO-DE-OBRA C/ ENCARGOS (114,09%)</v>
      </c>
      <c r="C178" s="411"/>
      <c r="D178" s="411"/>
      <c r="E178" s="411"/>
      <c r="F178" s="411"/>
      <c r="G178" s="317">
        <f>ROUND(G176*A178,2)</f>
        <v>0</v>
      </c>
      <c r="GE178" s="59"/>
    </row>
    <row r="179" spans="1:187" ht="12.75">
      <c r="A179" s="318">
        <f>'Composição de BDI'!D29</f>
        <v>0.2085</v>
      </c>
      <c r="B179" s="412" t="s">
        <v>255</v>
      </c>
      <c r="C179" s="412"/>
      <c r="D179" s="412"/>
      <c r="E179" s="412"/>
      <c r="F179" s="412"/>
      <c r="G179" s="317">
        <f>ROUND(G176*A179,2)</f>
        <v>35423.28</v>
      </c>
      <c r="GC179" s="60"/>
      <c r="GD179" s="408"/>
      <c r="GE179" s="408"/>
    </row>
    <row r="180" spans="1:187" ht="12.75">
      <c r="A180" s="319"/>
      <c r="B180" s="409" t="s">
        <v>256</v>
      </c>
      <c r="C180" s="409"/>
      <c r="D180" s="409"/>
      <c r="E180" s="409"/>
      <c r="F180" s="409"/>
      <c r="G180" s="320">
        <f>G176+G179</f>
        <v>205319.1</v>
      </c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GD180" s="408"/>
      <c r="GE180" s="408"/>
    </row>
    <row r="181" spans="1:187" ht="12.75">
      <c r="A181" s="125" t="s">
        <v>357</v>
      </c>
      <c r="B181" s="123"/>
      <c r="C181" s="123"/>
      <c r="D181" s="123"/>
      <c r="E181" s="123"/>
      <c r="F181" s="300"/>
      <c r="G181" s="12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GD181" s="120"/>
      <c r="GE181" s="120"/>
    </row>
    <row r="182" spans="1:187" ht="12.75">
      <c r="A182" s="126" t="s">
        <v>358</v>
      </c>
      <c r="B182" s="121"/>
      <c r="C182" s="121"/>
      <c r="D182" s="121"/>
      <c r="E182" s="121"/>
      <c r="F182" s="301"/>
      <c r="G182" s="12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GD182" s="120"/>
      <c r="GE182" s="120"/>
    </row>
  </sheetData>
  <sheetProtection/>
  <mergeCells count="16">
    <mergeCell ref="A1:E1"/>
    <mergeCell ref="D7:E7"/>
    <mergeCell ref="F7:G7"/>
    <mergeCell ref="F2:G2"/>
    <mergeCell ref="F3:G3"/>
    <mergeCell ref="A5:B5"/>
    <mergeCell ref="D5:E5"/>
    <mergeCell ref="F5:G5"/>
    <mergeCell ref="A7:B7"/>
    <mergeCell ref="GD180:GE180"/>
    <mergeCell ref="GD179:GE179"/>
    <mergeCell ref="B180:F180"/>
    <mergeCell ref="B176:F176"/>
    <mergeCell ref="B177:F177"/>
    <mergeCell ref="B178:F178"/>
    <mergeCell ref="B179:F179"/>
  </mergeCells>
  <conditionalFormatting sqref="A178">
    <cfRule type="cellIs" priority="1" dxfId="4" operator="equal" stopIfTrue="1">
      <formula>0</formula>
    </cfRule>
  </conditionalFormatting>
  <hyperlinks>
    <hyperlink ref="F554" r:id="rId1" display="http://br01.webdms.sika.com/fileshow.do?documentID=49"/>
    <hyperlink ref="F541" r:id="rId2" display="http://br01.webdms.sika.com/fileshow.do?documentID=49"/>
    <hyperlink ref="F752" r:id="rId3" display="http://br01.webdms.sika.com/fileshow.do?documentID=49"/>
    <hyperlink ref="F739" r:id="rId4" display="http://br01.webdms.sika.com/fileshow.do?documentID=49"/>
    <hyperlink ref="F566" r:id="rId5" display="http://br01.webdms.sika.com/fileshow.do?documentID=49"/>
    <hyperlink ref="F553" r:id="rId6" display="http://br01.webdms.sika.com/fileshow.do?documentID=49"/>
    <hyperlink ref="F764" r:id="rId7" display="http://br01.webdms.sika.com/fileshow.do?documentID=49"/>
    <hyperlink ref="F751" r:id="rId8" display="http://br01.webdms.sika.com/fileshow.do?documentID=49"/>
    <hyperlink ref="F552" r:id="rId9" display="http://br01.webdms.sika.com/fileshow.do?documentID=49"/>
    <hyperlink ref="F539" r:id="rId10" display="http://br01.webdms.sika.com/fileshow.do?documentID=49"/>
    <hyperlink ref="F750" r:id="rId11" display="http://br01.webdms.sika.com/fileshow.do?documentID=49"/>
    <hyperlink ref="F737" r:id="rId12" display="http://br01.webdms.sika.com/fileshow.do?documentID=49"/>
    <hyperlink ref="F564" r:id="rId13" display="http://br01.webdms.sika.com/fileshow.do?documentID=49"/>
    <hyperlink ref="F551" r:id="rId14" display="http://br01.webdms.sika.com/fileshow.do?documentID=49"/>
    <hyperlink ref="F762" r:id="rId15" display="http://br01.webdms.sika.com/fileshow.do?documentID=49"/>
    <hyperlink ref="F749" r:id="rId16" display="http://br01.webdms.sika.com/fileshow.do?documentID=49"/>
  </hyperlink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7"/>
  <headerFooter alignWithMargins="0">
    <oddFooter>&amp;L&amp;8&amp;Z&amp;F&amp;R&amp;8Página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355"/>
  <sheetViews>
    <sheetView showGridLines="0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2.7109375" style="299" customWidth="1"/>
    <col min="2" max="2" width="8.7109375" style="295" customWidth="1"/>
    <col min="3" max="3" width="37.7109375" style="296" customWidth="1"/>
    <col min="4" max="4" width="6.7109375" style="297" customWidth="1"/>
    <col min="5" max="5" width="9.7109375" style="298" customWidth="1"/>
    <col min="6" max="6" width="9.7109375" style="250" customWidth="1"/>
    <col min="7" max="7" width="11.7109375" style="250" customWidth="1"/>
    <col min="8" max="8" width="11.28125" style="127" customWidth="1"/>
    <col min="9" max="16384" width="9.140625" style="195" customWidth="1"/>
  </cols>
  <sheetData>
    <row r="1" spans="1:7" s="4" customFormat="1" ht="18.75">
      <c r="A1" s="413" t="s">
        <v>354</v>
      </c>
      <c r="B1" s="414"/>
      <c r="C1" s="414"/>
      <c r="D1" s="414"/>
      <c r="E1" s="415"/>
      <c r="F1" s="371" t="s">
        <v>67</v>
      </c>
      <c r="G1" s="348"/>
    </row>
    <row r="2" spans="1:7" s="58" customFormat="1" ht="11.25">
      <c r="A2" s="65" t="str">
        <f>'Orçamento Sintético'!A2</f>
        <v>Objeto: Recuperação de reservatórios e implantação de sistema de aproveitamento de água pluvial</v>
      </c>
      <c r="B2" s="66"/>
      <c r="C2" s="67"/>
      <c r="D2" s="66"/>
      <c r="E2" s="68"/>
      <c r="F2" s="349">
        <f>'Orçamento Sintético'!F2:G2</f>
        <v>1</v>
      </c>
      <c r="G2" s="350"/>
    </row>
    <row r="3" spans="1:7" s="58" customFormat="1" ht="11.25">
      <c r="A3" s="70" t="str">
        <f>'Orçamento Sintético'!A3</f>
        <v>Local: Quadra 1, Lotes 860, 880 e 900, Setor Industrial Leste, Gama-DF</v>
      </c>
      <c r="B3" s="71"/>
      <c r="C3" s="72"/>
      <c r="D3" s="73"/>
      <c r="E3" s="74"/>
      <c r="F3" s="349">
        <f>'Orçamento Sintético'!F3:G3</f>
        <v>2</v>
      </c>
      <c r="G3" s="350"/>
    </row>
    <row r="4" spans="1:7" s="58" customFormat="1" ht="11.25" customHeight="1">
      <c r="A4" s="374" t="s">
        <v>68</v>
      </c>
      <c r="B4" s="375"/>
      <c r="C4" s="376" t="s">
        <v>69</v>
      </c>
      <c r="D4" s="374" t="s">
        <v>70</v>
      </c>
      <c r="E4" s="375"/>
      <c r="F4" s="371" t="s">
        <v>71</v>
      </c>
      <c r="G4" s="377"/>
    </row>
    <row r="5" spans="1:7" s="58" customFormat="1" ht="11.25" customHeight="1">
      <c r="A5" s="416">
        <f>'Orçamento Sintético'!A5:B5</f>
        <v>3</v>
      </c>
      <c r="B5" s="417"/>
      <c r="C5" s="378">
        <f>'Orçamento Sintético'!C5</f>
        <v>4</v>
      </c>
      <c r="D5" s="416">
        <f>'Orçamento Sintético'!D5:E5</f>
        <v>5</v>
      </c>
      <c r="E5" s="417"/>
      <c r="F5" s="418">
        <f>'Orçamento Sintético'!F5:G5</f>
        <v>6</v>
      </c>
      <c r="G5" s="392"/>
    </row>
    <row r="6" spans="1:7" s="58" customFormat="1" ht="11.25" customHeight="1">
      <c r="A6" s="374" t="s">
        <v>184</v>
      </c>
      <c r="B6" s="375"/>
      <c r="C6" s="376" t="s">
        <v>72</v>
      </c>
      <c r="D6" s="374" t="s">
        <v>73</v>
      </c>
      <c r="E6" s="375"/>
      <c r="F6" s="371" t="s">
        <v>74</v>
      </c>
      <c r="G6" s="377"/>
    </row>
    <row r="7" spans="1:7" s="58" customFormat="1" ht="11.25" customHeight="1">
      <c r="A7" s="406">
        <f>'Orçamento Sintético'!A7:B7</f>
        <v>7</v>
      </c>
      <c r="B7" s="407"/>
      <c r="C7" s="378">
        <f>'Orçamento Sintético'!C7</f>
        <v>8</v>
      </c>
      <c r="D7" s="416">
        <f>'Orçamento Sintético'!D7:E7</f>
        <v>9</v>
      </c>
      <c r="E7" s="417"/>
      <c r="F7" s="418">
        <f>'Orçamento Sintético'!F7:G7</f>
        <v>10</v>
      </c>
      <c r="G7" s="392"/>
    </row>
    <row r="8" spans="1:7" s="80" customFormat="1" ht="6.75" customHeight="1">
      <c r="A8" s="117"/>
      <c r="B8" s="117"/>
      <c r="C8" s="117"/>
      <c r="D8" s="117"/>
      <c r="E8" s="379"/>
      <c r="F8" s="380"/>
      <c r="G8" s="379"/>
    </row>
    <row r="9" spans="1:7" ht="22.5">
      <c r="A9" s="278" t="s">
        <v>237</v>
      </c>
      <c r="B9" s="279" t="s">
        <v>238</v>
      </c>
      <c r="C9" s="279" t="s">
        <v>239</v>
      </c>
      <c r="D9" s="279" t="s">
        <v>240</v>
      </c>
      <c r="E9" s="280" t="s">
        <v>241</v>
      </c>
      <c r="F9" s="281" t="s">
        <v>242</v>
      </c>
      <c r="G9" s="282" t="s">
        <v>243</v>
      </c>
    </row>
    <row r="10" spans="1:7" ht="12.75">
      <c r="A10" s="61"/>
      <c r="B10" s="61" t="str">
        <f>'Orçamento Sintético'!B10</f>
        <v>01.00.000</v>
      </c>
      <c r="C10" s="62" t="str">
        <f>'Orçamento Sintético'!C10</f>
        <v>SERVIÇOS TÉCNICOS-PROFISSIONAIS</v>
      </c>
      <c r="D10" s="61"/>
      <c r="E10" s="63"/>
      <c r="F10" s="64"/>
      <c r="G10" s="64"/>
    </row>
    <row r="11" spans="1:7" ht="12.75">
      <c r="A11" s="50"/>
      <c r="B11" s="50" t="str">
        <f>'Orçamento Sintético'!B11</f>
        <v>01.08.000</v>
      </c>
      <c r="C11" s="51" t="str">
        <f>'Orçamento Sintético'!C11</f>
        <v>TAXAS E EMOLUMENTOS</v>
      </c>
      <c r="D11" s="50"/>
      <c r="E11" s="52"/>
      <c r="F11" s="53"/>
      <c r="G11" s="53"/>
    </row>
    <row r="12" spans="1:7" ht="22.5">
      <c r="A12" s="283" t="str">
        <f>'Orçamento Sintético'!A12</f>
        <v>CCU 01.08.001</v>
      </c>
      <c r="B12" s="43" t="str">
        <f>'Orçamento Sintético'!B12</f>
        <v>01.08.001</v>
      </c>
      <c r="C12" s="285" t="str">
        <f>VLOOKUP($A12,'Orçamento Sintético'!$A:$G,3,0)</f>
        <v>Registro do contrato junto ao conselho de classe (ART)</v>
      </c>
      <c r="D12" s="283" t="str">
        <f>VLOOKUP($A12,'Orçamento Sintético'!$A:$G,4,0)</f>
        <v>vb</v>
      </c>
      <c r="E12" s="284"/>
      <c r="F12" s="248"/>
      <c r="G12" s="45">
        <f>SUM(G13)</f>
        <v>226.5</v>
      </c>
    </row>
    <row r="13" spans="1:7" ht="22.5">
      <c r="A13" s="34" t="s">
        <v>203</v>
      </c>
      <c r="B13" s="35"/>
      <c r="C13" s="257" t="str">
        <f>VLOOKUP(A13,Insumos!$A:$D,2,0)</f>
        <v>Anotação de Resposanbilidade Técnica (Faixa 3 - Tabela A - CONFEA)</v>
      </c>
      <c r="D13" s="258" t="str">
        <f>VLOOKUP(A13,Insumos!$A:$D,3,0)</f>
        <v>un</v>
      </c>
      <c r="E13" s="284">
        <v>1</v>
      </c>
      <c r="F13" s="247">
        <f>VLOOKUP(A13,Insumos!$A:$D,4,0)</f>
        <v>226.5</v>
      </c>
      <c r="G13" s="36">
        <f>ROUND(E13*F13,2)</f>
        <v>226.5</v>
      </c>
    </row>
    <row r="14" spans="1:7" ht="12.75">
      <c r="A14" s="34"/>
      <c r="B14" s="35"/>
      <c r="C14" s="257"/>
      <c r="D14" s="258"/>
      <c r="E14" s="284"/>
      <c r="F14" s="247"/>
      <c r="G14" s="36"/>
    </row>
    <row r="15" spans="1:7" ht="12.75">
      <c r="A15" s="54"/>
      <c r="B15" s="54" t="str">
        <f>'Orçamento Sintético'!B13</f>
        <v>02.00.000</v>
      </c>
      <c r="C15" s="55" t="str">
        <f>'Orçamento Sintético'!C13</f>
        <v>SERVIÇOS PRELIMINARES</v>
      </c>
      <c r="D15" s="54"/>
      <c r="E15" s="56"/>
      <c r="F15" s="57"/>
      <c r="G15" s="57"/>
    </row>
    <row r="16" spans="1:7" ht="12.75">
      <c r="A16" s="50"/>
      <c r="B16" s="50" t="str">
        <f>'Orçamento Sintético'!B17</f>
        <v>02.02.000</v>
      </c>
      <c r="C16" s="51" t="str">
        <f>'Orçamento Sintético'!C17</f>
        <v>DEMOLIÇÃO</v>
      </c>
      <c r="D16" s="50"/>
      <c r="E16" s="52"/>
      <c r="F16" s="41"/>
      <c r="G16" s="53"/>
    </row>
    <row r="17" spans="1:7" ht="12.75">
      <c r="A17" s="37"/>
      <c r="B17" s="43" t="str">
        <f>'Orçamento Sintético'!B22</f>
        <v>02.02.300</v>
      </c>
      <c r="C17" s="285" t="str">
        <f>'Orçamento Sintético'!C22</f>
        <v>Remoções</v>
      </c>
      <c r="D17" s="286"/>
      <c r="E17" s="284"/>
      <c r="F17" s="248"/>
      <c r="G17" s="36"/>
    </row>
    <row r="18" spans="1:7" ht="33.75">
      <c r="A18" s="283" t="str">
        <f>'Orçamento Sintético'!A25</f>
        <v>CCU 02.02.303</v>
      </c>
      <c r="B18" s="43" t="str">
        <f>'Orçamento Sintético'!B23</f>
        <v>02.02.301</v>
      </c>
      <c r="C18" s="285" t="str">
        <f>'Orçamento Sintético'!C23</f>
        <v>Remoção de tubulações (tubos e conexões) de água fria, de forma manual, sem reaproveitamento. AF_12/2017</v>
      </c>
      <c r="D18" s="283" t="str">
        <f>VLOOKUP($A18,'Orçamento Sintético'!$A:$G,4,0)</f>
        <v>m²</v>
      </c>
      <c r="E18" s="284"/>
      <c r="F18" s="248"/>
      <c r="G18" s="45">
        <f>SUM(G19:G20)</f>
        <v>9.370000000000001</v>
      </c>
    </row>
    <row r="19" spans="1:7" ht="12.75">
      <c r="A19" s="34">
        <v>3768</v>
      </c>
      <c r="B19" s="35"/>
      <c r="C19" s="257" t="str">
        <f>VLOOKUP(A19,Insumos!$A:$D,2,0)</f>
        <v>Lixa em folha para ferro, número 150</v>
      </c>
      <c r="D19" s="258" t="str">
        <f>VLOOKUP(A19,Insumos!$A:$D,3,0)</f>
        <v>un</v>
      </c>
      <c r="E19" s="284">
        <v>0.5</v>
      </c>
      <c r="F19" s="247">
        <f>VLOOKUP(A19,Insumos!$A:$D,4,0)</f>
        <v>2.93</v>
      </c>
      <c r="G19" s="36">
        <f>ROUND(E19*F19,2)</f>
        <v>1.47</v>
      </c>
    </row>
    <row r="20" spans="1:7" ht="12.75">
      <c r="A20" s="34">
        <v>88316</v>
      </c>
      <c r="B20" s="35"/>
      <c r="C20" s="257" t="str">
        <f>VLOOKUP(A20,Insumos!$A:$D,2,0)</f>
        <v>Servente com encargos complementares</v>
      </c>
      <c r="D20" s="258" t="str">
        <f>VLOOKUP(A20,Insumos!$A:$D,3,0)</f>
        <v>h</v>
      </c>
      <c r="E20" s="284">
        <v>0.5</v>
      </c>
      <c r="F20" s="247">
        <f>VLOOKUP(A20,Insumos!$A:$D,4,0)</f>
        <v>15.79</v>
      </c>
      <c r="G20" s="36">
        <f>ROUND(E20*F20,2)</f>
        <v>7.9</v>
      </c>
    </row>
    <row r="21" spans="1:7" ht="12.75">
      <c r="A21" s="37"/>
      <c r="B21" s="43"/>
      <c r="C21" s="257"/>
      <c r="D21" s="258"/>
      <c r="E21" s="284"/>
      <c r="F21" s="247"/>
      <c r="G21" s="36"/>
    </row>
    <row r="22" spans="1:7" ht="22.5">
      <c r="A22" s="283" t="str">
        <f>'Orçamento Sintético'!A31</f>
        <v>CCU 02.02.309</v>
      </c>
      <c r="B22" s="43" t="str">
        <f>VLOOKUP($A22,'Orçamento Sintético'!$A:$G,2,0)</f>
        <v>02.02.309</v>
      </c>
      <c r="C22" s="285" t="str">
        <f>VLOOKUP($A22,'Orçamento Sintético'!$A:$G,3,0)</f>
        <v>Transporte de material – bota-fora, D.M.T = 60,0 km</v>
      </c>
      <c r="D22" s="283" t="str">
        <f>VLOOKUP($A22,'Orçamento Sintético'!$A:$G,4,0)</f>
        <v>m³</v>
      </c>
      <c r="E22" s="284"/>
      <c r="F22" s="248"/>
      <c r="G22" s="45">
        <f>SUM(G23:G24)</f>
        <v>87.94</v>
      </c>
    </row>
    <row r="23" spans="1:7" ht="33.75">
      <c r="A23" s="34">
        <v>97915</v>
      </c>
      <c r="B23" s="35"/>
      <c r="C23" s="257" t="str">
        <f>VLOOKUP(A23,Insumos!$A:$D,2,0)</f>
        <v>Transporte com caminhão basculante de 6 m3, em via urbana pavimentada, DMT acima de 30 km (unidade: m3xkm)</v>
      </c>
      <c r="D23" s="258" t="str">
        <f>VLOOKUP(A23,Insumos!$A:$D,3,0)</f>
        <v>m³xKm</v>
      </c>
      <c r="E23" s="284">
        <f>ROUND(1*60,4)</f>
        <v>60</v>
      </c>
      <c r="F23" s="247">
        <f>VLOOKUP(A23,Insumos!$A:$D,4,0)</f>
        <v>1.14</v>
      </c>
      <c r="G23" s="36">
        <f>ROUND(E23*F23,2)</f>
        <v>68.4</v>
      </c>
    </row>
    <row r="24" spans="1:7" ht="22.5">
      <c r="A24" s="34">
        <v>72897</v>
      </c>
      <c r="B24" s="35"/>
      <c r="C24" s="257" t="str">
        <f>VLOOKUP(A24,Insumos!$A:$D,2,0)</f>
        <v>Carga manual de entulho em caminhão basculante 6m³</v>
      </c>
      <c r="D24" s="258" t="str">
        <f>VLOOKUP(A24,Insumos!$A:$D,3,0)</f>
        <v>m³</v>
      </c>
      <c r="E24" s="284">
        <v>1</v>
      </c>
      <c r="F24" s="247">
        <f>VLOOKUP(A24,Insumos!$A:$D,4,0)</f>
        <v>19.54</v>
      </c>
      <c r="G24" s="36">
        <f>ROUND(E24*F24,2)</f>
        <v>19.54</v>
      </c>
    </row>
    <row r="25" spans="1:7" ht="12.75">
      <c r="A25" s="34"/>
      <c r="B25" s="35"/>
      <c r="C25" s="257"/>
      <c r="D25" s="258"/>
      <c r="E25" s="284"/>
      <c r="F25" s="247"/>
      <c r="G25" s="36"/>
    </row>
    <row r="26" spans="1:7" ht="12.75">
      <c r="A26" s="54"/>
      <c r="B26" s="54" t="str">
        <f>'Orçamento Sintético'!B32</f>
        <v>03.00.000</v>
      </c>
      <c r="C26" s="55" t="str">
        <f>'Orçamento Sintético'!C32</f>
        <v>FUNDAÇÕES E ESTRUTURAS</v>
      </c>
      <c r="D26" s="54"/>
      <c r="E26" s="56"/>
      <c r="F26" s="57"/>
      <c r="G26" s="57"/>
    </row>
    <row r="27" spans="1:7" ht="12.75">
      <c r="A27" s="283"/>
      <c r="B27" s="43" t="str">
        <f>'Orçamento Sintético'!B34</f>
        <v>03.02.100</v>
      </c>
      <c r="C27" s="285" t="str">
        <f>'Orçamento Sintético'!C34</f>
        <v>Concreto Armado</v>
      </c>
      <c r="D27" s="283"/>
      <c r="E27" s="284"/>
      <c r="F27" s="248"/>
      <c r="G27" s="45"/>
    </row>
    <row r="28" spans="1:7" ht="67.5">
      <c r="A28" s="283" t="str">
        <f>'Orçamento Sintético'!A42</f>
        <v>CCU 03.02.106</v>
      </c>
      <c r="B28" s="43" t="str">
        <f>VLOOKUP($A28,'Orçamento Sintético'!$A:$G,2,0)</f>
        <v>03.02.106</v>
      </c>
      <c r="C28" s="285" t="str">
        <f>VLOOKUP($A28,'Orçamento Sintético'!$A:$G,3,0)</f>
        <v>Concretagem de vigas e lajes, fck=30 MPa, para qualquer tipo de laje com baldes em edificação de multipavimentos até 04 andares, com área média de lajes menor ou igual a 20 m² - lançamento, adensamento e acabamento</v>
      </c>
      <c r="D28" s="283" t="str">
        <f>VLOOKUP($A28,'Orçamento Sintético'!$A:$G,4,0)</f>
        <v>m³</v>
      </c>
      <c r="E28" s="284"/>
      <c r="F28" s="248"/>
      <c r="G28" s="45">
        <f>SUM(G29:G34)</f>
        <v>777.2</v>
      </c>
    </row>
    <row r="29" spans="1:7" ht="33.75">
      <c r="A29" s="34">
        <v>94972</v>
      </c>
      <c r="B29" s="35"/>
      <c r="C29" s="257" t="str">
        <f>VLOOKUP(A29,Insumos!$A:$D,2,0)</f>
        <v>Concreto fck = 30MPa, traço 1:2,1:2,5 (cimento/ areia média/ brita 1)  - preparo mecânico com betoneira 600 l</v>
      </c>
      <c r="D29" s="258" t="str">
        <f>VLOOKUP(A29,Insumos!$A:$D,3,0)</f>
        <v>m³</v>
      </c>
      <c r="E29" s="284">
        <v>1</v>
      </c>
      <c r="F29" s="247">
        <f>VLOOKUP(A29,Insumos!$A:$D,4,0)</f>
        <v>325.79</v>
      </c>
      <c r="G29" s="36">
        <f aca="true" t="shared" si="0" ref="G29:G34">ROUND(E29*F29,2)</f>
        <v>325.79</v>
      </c>
    </row>
    <row r="30" spans="1:7" ht="33.75">
      <c r="A30" s="34">
        <v>90586</v>
      </c>
      <c r="B30" s="35"/>
      <c r="C30" s="257" t="str">
        <f>VLOOKUP(A30,Insumos!$A:$D,2,0)</f>
        <v>Vibrador de imersão, diâmetro de ponteira 45mm, motor elétrico trifásico potência de 2 cv - chp diurno. Af_06/2015</v>
      </c>
      <c r="D30" s="258" t="str">
        <f>VLOOKUP(A30,Insumos!$A:$D,3,0)</f>
        <v>CHP</v>
      </c>
      <c r="E30" s="284">
        <v>1.05</v>
      </c>
      <c r="F30" s="247">
        <f>VLOOKUP(A30,Insumos!$A:$D,4,0)</f>
        <v>1.29</v>
      </c>
      <c r="G30" s="36">
        <f t="shared" si="0"/>
        <v>1.35</v>
      </c>
    </row>
    <row r="31" spans="1:7" ht="33.75">
      <c r="A31" s="34">
        <v>90587</v>
      </c>
      <c r="B31" s="35"/>
      <c r="C31" s="257" t="str">
        <f>VLOOKUP(A31,Insumos!$A:$D,2,0)</f>
        <v>Vibrador de imersão, diâmetro de ponteira 45mm, motor elétrico trifásico potência de 2 cv - chi diurno. Af_06/2015</v>
      </c>
      <c r="D31" s="258" t="str">
        <f>VLOOKUP(A31,Insumos!$A:$D,3,0)</f>
        <v>CHI</v>
      </c>
      <c r="E31" s="284">
        <v>1.105</v>
      </c>
      <c r="F31" s="247">
        <f>VLOOKUP(A31,Insumos!$A:$D,4,0)</f>
        <v>0.29</v>
      </c>
      <c r="G31" s="36">
        <f t="shared" si="0"/>
        <v>0.32</v>
      </c>
    </row>
    <row r="32" spans="1:7" ht="12.75">
      <c r="A32" s="34">
        <v>88309</v>
      </c>
      <c r="B32" s="35"/>
      <c r="C32" s="257" t="str">
        <f>VLOOKUP(A32,Insumos!$A:$D,2,0)</f>
        <v>Pedreiro com encargos complementares</v>
      </c>
      <c r="D32" s="258" t="str">
        <f>VLOOKUP(A32,Insumos!$A:$D,3,0)</f>
        <v>h</v>
      </c>
      <c r="E32" s="284">
        <v>6.857</v>
      </c>
      <c r="F32" s="247">
        <f>VLOOKUP(A32,Insumos!$A:$D,4,0)</f>
        <v>21.47</v>
      </c>
      <c r="G32" s="36">
        <f t="shared" si="0"/>
        <v>147.22</v>
      </c>
    </row>
    <row r="33" spans="1:7" ht="12.75">
      <c r="A33" s="34">
        <v>88316</v>
      </c>
      <c r="B33" s="35"/>
      <c r="C33" s="257" t="str">
        <f>VLOOKUP(A33,Insumos!$A:$D,2,0)</f>
        <v>Servente com encargos complementares</v>
      </c>
      <c r="D33" s="258" t="str">
        <f>VLOOKUP(A33,Insumos!$A:$D,3,0)</f>
        <v>h</v>
      </c>
      <c r="E33" s="284">
        <v>16.074</v>
      </c>
      <c r="F33" s="247">
        <f>VLOOKUP(A33,Insumos!$A:$D,4,0)</f>
        <v>15.79</v>
      </c>
      <c r="G33" s="36">
        <f t="shared" si="0"/>
        <v>253.81</v>
      </c>
    </row>
    <row r="34" spans="1:7" ht="22.5">
      <c r="A34" s="34">
        <v>88262</v>
      </c>
      <c r="B34" s="35"/>
      <c r="C34" s="257" t="str">
        <f>VLOOKUP(A34,Insumos!$A:$D,2,0)</f>
        <v>Carpinteiro de formas com encargos complementares</v>
      </c>
      <c r="D34" s="258" t="str">
        <f>VLOOKUP(A34,Insumos!$A:$D,3,0)</f>
        <v>h</v>
      </c>
      <c r="E34" s="284">
        <v>2.286</v>
      </c>
      <c r="F34" s="247">
        <f>VLOOKUP(A34,Insumos!$A:$D,4,0)</f>
        <v>21.31</v>
      </c>
      <c r="G34" s="36">
        <f t="shared" si="0"/>
        <v>48.71</v>
      </c>
    </row>
    <row r="35" spans="1:7" ht="12.75">
      <c r="A35" s="43"/>
      <c r="B35" s="43"/>
      <c r="C35" s="197"/>
      <c r="D35" s="43"/>
      <c r="E35" s="44"/>
      <c r="F35" s="179"/>
      <c r="G35" s="45"/>
    </row>
    <row r="36" spans="1:7" ht="22.5">
      <c r="A36" s="283" t="str">
        <f>'Orçamento Sintético'!A43</f>
        <v>CCU 03.02.107</v>
      </c>
      <c r="B36" s="43" t="str">
        <f>VLOOKUP($A36,'Orçamento Sintético'!$A:$G,2,0)</f>
        <v>03.02.107</v>
      </c>
      <c r="C36" s="285" t="str">
        <f>VLOOKUP($A36,'Orçamento Sintético'!$A:$G,3,0)</f>
        <v>Base em concreto 25MPa preparo mecânico, e=10cm, armado com tela soldada</v>
      </c>
      <c r="D36" s="283" t="str">
        <f>VLOOKUP($A36,'Orçamento Sintético'!$A:$G,4,0)</f>
        <v>m²</v>
      </c>
      <c r="E36" s="284"/>
      <c r="F36" s="248"/>
      <c r="G36" s="45">
        <f>SUM(G37:G45)</f>
        <v>157.45000000000002</v>
      </c>
    </row>
    <row r="37" spans="1:7" ht="33.75">
      <c r="A37" s="34">
        <v>94971</v>
      </c>
      <c r="B37" s="35"/>
      <c r="C37" s="257" t="str">
        <f>VLOOKUP(A37,Insumos!$A:$D,2,0)</f>
        <v>Concreto fck = 25MPa, traço 1:2,3:2,7 (cimento/ areia média/ brita 1)  - preparo mecânico com betoneira 600 l</v>
      </c>
      <c r="D37" s="258" t="str">
        <f>VLOOKUP(A37,Insumos!$A:$D,3,0)</f>
        <v>m³</v>
      </c>
      <c r="E37" s="284">
        <v>0.1</v>
      </c>
      <c r="F37" s="247">
        <f>VLOOKUP(A37,Insumos!$A:$D,4,0)</f>
        <v>317.21</v>
      </c>
      <c r="G37" s="36">
        <f aca="true" t="shared" si="1" ref="G37:G42">ROUND(E37*F37,2)</f>
        <v>31.72</v>
      </c>
    </row>
    <row r="38" spans="1:7" ht="33.75">
      <c r="A38" s="34">
        <v>7156</v>
      </c>
      <c r="B38" s="35"/>
      <c r="C38" s="257" t="str">
        <f>VLOOKUP(A38,Insumos!$A:$D,2,0)</f>
        <v>Tela de aço soldada nervurada, CA-60, Q-196, (3,11 kg/m2), diâmetro do fio = 5,0 mm, largura =  2,45 m, espaçamento da malha = 10 x 10 cm</v>
      </c>
      <c r="D38" s="258" t="str">
        <f>VLOOKUP(A38,Insumos!$A:$D,3,0)</f>
        <v>m²</v>
      </c>
      <c r="E38" s="284">
        <v>1.05</v>
      </c>
      <c r="F38" s="247">
        <f>VLOOKUP(A38,Insumos!$A:$D,4,0)</f>
        <v>19.07</v>
      </c>
      <c r="G38" s="36">
        <f t="shared" si="1"/>
        <v>20.02</v>
      </c>
    </row>
    <row r="39" spans="1:7" ht="33.75">
      <c r="A39" s="34">
        <v>92446</v>
      </c>
      <c r="B39" s="35"/>
      <c r="C39" s="257" t="str">
        <f>VLOOKUP(A39,Insumos!$A:$D,2,0)</f>
        <v>Montagem e desmontagem de fôrma de viga, escoramento com pontalete de madeira, pé-direito simples, em madeira serrada, 1 utilização</v>
      </c>
      <c r="D39" s="258" t="str">
        <f>VLOOKUP(A39,Insumos!$A:$D,3,0)</f>
        <v>m²</v>
      </c>
      <c r="E39" s="284">
        <f>ROUND(1.05*30.91*0.1/21.86,2)</f>
        <v>0.15</v>
      </c>
      <c r="F39" s="247">
        <f>VLOOKUP(A39,Insumos!$A:$D,4,0)</f>
        <v>161.34</v>
      </c>
      <c r="G39" s="36">
        <f t="shared" si="1"/>
        <v>24.2</v>
      </c>
    </row>
    <row r="40" spans="1:7" ht="12.75">
      <c r="A40" s="34">
        <v>88245</v>
      </c>
      <c r="B40" s="35"/>
      <c r="C40" s="257" t="str">
        <f>VLOOKUP(A40,Insumos!$A:$D,2,0)</f>
        <v>Armador com encargos complementares</v>
      </c>
      <c r="D40" s="258" t="str">
        <f>VLOOKUP(A40,Insumos!$A:$D,3,0)</f>
        <v>h</v>
      </c>
      <c r="E40" s="284">
        <v>0.02</v>
      </c>
      <c r="F40" s="247">
        <f>VLOOKUP(A40,Insumos!$A:$D,4,0)</f>
        <v>21.35</v>
      </c>
      <c r="G40" s="36">
        <f t="shared" si="1"/>
        <v>0.43</v>
      </c>
    </row>
    <row r="41" spans="1:7" ht="12.75">
      <c r="A41" s="34">
        <v>88309</v>
      </c>
      <c r="B41" s="35"/>
      <c r="C41" s="257" t="str">
        <f>VLOOKUP(A41,Insumos!$A:$D,2,0)</f>
        <v>Pedreiro com encargos complementares</v>
      </c>
      <c r="D41" s="258" t="str">
        <f>VLOOKUP(A41,Insumos!$A:$D,3,0)</f>
        <v>h</v>
      </c>
      <c r="E41" s="284">
        <f>ROUND(0.1/0.07*0.26,4)</f>
        <v>0.3714</v>
      </c>
      <c r="F41" s="247">
        <f>VLOOKUP(A41,Insumos!$A:$D,4,0)</f>
        <v>21.47</v>
      </c>
      <c r="G41" s="36">
        <f t="shared" si="1"/>
        <v>7.97</v>
      </c>
    </row>
    <row r="42" spans="1:7" ht="12.75">
      <c r="A42" s="34">
        <v>88316</v>
      </c>
      <c r="B42" s="35"/>
      <c r="C42" s="257" t="str">
        <f>VLOOKUP(A42,Insumos!$A:$D,2,0)</f>
        <v>Servente com encargos complementares</v>
      </c>
      <c r="D42" s="258" t="str">
        <f>VLOOKUP(A42,Insumos!$A:$D,3,0)</f>
        <v>h</v>
      </c>
      <c r="E42" s="284">
        <f>ROUND(0.1/0.07*1.94,4)</f>
        <v>2.7714</v>
      </c>
      <c r="F42" s="247">
        <f>VLOOKUP(A42,Insumos!$A:$D,4,0)</f>
        <v>15.79</v>
      </c>
      <c r="G42" s="36">
        <f t="shared" si="1"/>
        <v>43.76</v>
      </c>
    </row>
    <row r="43" spans="1:7" ht="12.75">
      <c r="A43" s="34"/>
      <c r="B43" s="35"/>
      <c r="C43" s="257"/>
      <c r="D43" s="258"/>
      <c r="E43" s="284"/>
      <c r="F43" s="247"/>
      <c r="G43" s="36"/>
    </row>
    <row r="44" spans="1:7" ht="33.75">
      <c r="A44" s="283" t="str">
        <f>'Orçamento Sintético'!A45</f>
        <v>CCU 03.02.110</v>
      </c>
      <c r="B44" s="43" t="str">
        <f>VLOOKUP($A44,'Orçamento Sintético'!$A:$G,2,0)</f>
        <v>03.02.110</v>
      </c>
      <c r="C44" s="285" t="str">
        <f>VLOOKUP($A44,'Orçamento Sintético'!$A:$G,3,0)</f>
        <v>Escarificação de laje de forma mecanizada, utilizando martelete rompedor, sem reaproveitamento</v>
      </c>
      <c r="D44" s="283" t="str">
        <f>VLOOKUP($A44,'Orçamento Sintético'!$A:$G,4,0)</f>
        <v>m²</v>
      </c>
      <c r="E44" s="284"/>
      <c r="F44" s="248"/>
      <c r="G44" s="45">
        <f>SUM(G45:G48)</f>
        <v>17.8</v>
      </c>
    </row>
    <row r="45" spans="1:7" ht="22.5">
      <c r="A45" s="34">
        <v>5795</v>
      </c>
      <c r="B45" s="35"/>
      <c r="C45" s="257" t="str">
        <f>VLOOKUP(A45,Insumos!$A:$D,2,0)</f>
        <v>Martelete ou rompedor pneumático manual, 28 kg, com silenciador - chp diurno.</v>
      </c>
      <c r="D45" s="258" t="str">
        <f>VLOOKUP(A45,Insumos!$A:$D,3,0)</f>
        <v>chp</v>
      </c>
      <c r="E45" s="284">
        <v>0.6</v>
      </c>
      <c r="F45" s="247">
        <f>VLOOKUP(A45,Insumos!$A:$D,4,0)</f>
        <v>19.25</v>
      </c>
      <c r="G45" s="36">
        <f>ROUND(E45*F45,2)</f>
        <v>11.55</v>
      </c>
    </row>
    <row r="46" spans="1:7" ht="22.5">
      <c r="A46" s="34">
        <v>5952</v>
      </c>
      <c r="B46" s="35"/>
      <c r="C46" s="257" t="str">
        <f>VLOOKUP(A46,Insumos!$A:$D,2,0)</f>
        <v>Martelete ou rompedor pneumático manual, 28 kg, com silenciador - chi diurno.</v>
      </c>
      <c r="D46" s="258" t="str">
        <f>VLOOKUP(A46,Insumos!$A:$D,3,0)</f>
        <v>chi</v>
      </c>
      <c r="E46" s="284">
        <v>0.15</v>
      </c>
      <c r="F46" s="247">
        <f>VLOOKUP(A46,Insumos!$A:$D,4,0)</f>
        <v>18.14</v>
      </c>
      <c r="G46" s="36">
        <f>ROUND(E46*F46,2)</f>
        <v>2.72</v>
      </c>
    </row>
    <row r="47" spans="1:7" ht="22.5">
      <c r="A47" s="34">
        <v>26022</v>
      </c>
      <c r="B47" s="35"/>
      <c r="C47" s="257" t="str">
        <f>VLOOKUP(A47,Insumos!$A:$D,2,0)</f>
        <v>Ponteiro para martelo rompedor, Ø28mm, comp. 520mm, encaixe sextavado</v>
      </c>
      <c r="D47" s="258" t="str">
        <f>VLOOKUP(A47,Insumos!$A:$D,3,0)</f>
        <v>un</v>
      </c>
      <c r="E47" s="284">
        <v>0.0068</v>
      </c>
      <c r="F47" s="247">
        <f>VLOOKUP(A47,Insumos!$A:$D,4,0)</f>
        <v>170.4</v>
      </c>
      <c r="G47" s="36">
        <f>ROUND(E47*F47,2)</f>
        <v>1.16</v>
      </c>
    </row>
    <row r="48" spans="1:7" ht="12.75">
      <c r="A48" s="34">
        <v>88316</v>
      </c>
      <c r="B48" s="35"/>
      <c r="C48" s="257" t="str">
        <f>VLOOKUP(A48,Insumos!$A:$D,2,0)</f>
        <v>Servente com encargos complementares</v>
      </c>
      <c r="D48" s="258" t="str">
        <f>VLOOKUP(A48,Insumos!$A:$D,3,0)</f>
        <v>h</v>
      </c>
      <c r="E48" s="284">
        <v>0.15</v>
      </c>
      <c r="F48" s="247">
        <f>VLOOKUP(A48,Insumos!$A:$D,4,0)</f>
        <v>15.79</v>
      </c>
      <c r="G48" s="36">
        <f>ROUND(E48*F48,2)</f>
        <v>2.37</v>
      </c>
    </row>
    <row r="49" spans="1:7" ht="12.75">
      <c r="A49" s="34"/>
      <c r="B49" s="35"/>
      <c r="C49" s="257"/>
      <c r="D49" s="258"/>
      <c r="E49" s="284"/>
      <c r="F49" s="247"/>
      <c r="G49" s="36"/>
    </row>
    <row r="50" spans="1:7" ht="22.5">
      <c r="A50" s="283" t="str">
        <f>'Orçamento Sintético'!A46</f>
        <v>CCU 03.02.111</v>
      </c>
      <c r="B50" s="43" t="str">
        <f>VLOOKUP($A50,'Orçamento Sintético'!$A:$G,2,0)</f>
        <v>03.02.111</v>
      </c>
      <c r="C50" s="285" t="str">
        <f>VLOOKUP($A50,'Orçamento Sintético'!$A:$G,3,0)</f>
        <v>Furo e colagem da armação dos cantos com adesivo estrutural Ø6,3mm</v>
      </c>
      <c r="D50" s="283" t="str">
        <f>VLOOKUP($A50,'Orçamento Sintético'!$A:$G,4,0)</f>
        <v>un</v>
      </c>
      <c r="E50" s="284"/>
      <c r="F50" s="248"/>
      <c r="G50" s="45">
        <f>SUM(G51:G52)</f>
        <v>8.48</v>
      </c>
    </row>
    <row r="51" spans="1:7" ht="22.5">
      <c r="A51" s="34">
        <v>83736</v>
      </c>
      <c r="B51" s="35"/>
      <c r="C51" s="257" t="str">
        <f>VLOOKUP(A51,Insumos!$A:$D,2,0)</f>
        <v>Reparo/colagem de estruturas de concreto com adesivo estrutural a base de epoxi, e=2 mm</v>
      </c>
      <c r="D51" s="258" t="str">
        <f>VLOOKUP(A51,Insumos!$A:$D,3,0)</f>
        <v>m²</v>
      </c>
      <c r="E51" s="284">
        <f>ROUND(1.05*((2*3.14*0.0063/2)*0.15/(0.55/2)),4)</f>
        <v>0.0113</v>
      </c>
      <c r="F51" s="247">
        <f>VLOOKUP(A51,Insumos!$A:$D,4,0)</f>
        <v>179.99</v>
      </c>
      <c r="G51" s="36">
        <f>ROUND(E51*F51,2)</f>
        <v>2.03</v>
      </c>
    </row>
    <row r="52" spans="1:7" ht="22.5">
      <c r="A52" s="34" t="s">
        <v>400</v>
      </c>
      <c r="B52" s="35"/>
      <c r="C52" s="257" t="str">
        <f>VLOOKUP(A52,Insumos!$A:$D,2,0)</f>
        <v>Furo em concreto com broca de widia, utilizando martele elétrico Ø 3/8" profundidade 10 cm</v>
      </c>
      <c r="D52" s="258" t="str">
        <f>VLOOKUP(A52,Insumos!$A:$D,3,0)</f>
        <v>un</v>
      </c>
      <c r="E52" s="284">
        <v>1</v>
      </c>
      <c r="F52" s="247">
        <f>VLOOKUP(A52,Insumos!$A:$D,4,0)</f>
        <v>6.45</v>
      </c>
      <c r="G52" s="36">
        <f>ROUND(E52*F52,2)</f>
        <v>6.45</v>
      </c>
    </row>
    <row r="53" spans="1:7" ht="12.75">
      <c r="A53" s="34"/>
      <c r="B53" s="35"/>
      <c r="C53" s="257"/>
      <c r="D53" s="258"/>
      <c r="E53" s="284"/>
      <c r="F53" s="247"/>
      <c r="G53" s="36"/>
    </row>
    <row r="54" spans="1:7" ht="22.5">
      <c r="A54" s="283" t="str">
        <f>'Orçamento Sintético'!A47</f>
        <v>CCU 03.02.112</v>
      </c>
      <c r="B54" s="43" t="str">
        <f>VLOOKUP($A54,'Orçamento Sintético'!$A:$G,2,0)</f>
        <v>03.02.112</v>
      </c>
      <c r="C54" s="285" t="str">
        <f>VLOOKUP($A54,'Orçamento Sintético'!$A:$G,3,0)</f>
        <v>Furo e colagem da armação dos cantos com adesivo estrutural Ø8,00mm</v>
      </c>
      <c r="D54" s="283" t="str">
        <f>VLOOKUP($A54,'Orçamento Sintético'!$A:$G,4,0)</f>
        <v>un</v>
      </c>
      <c r="E54" s="284"/>
      <c r="F54" s="248"/>
      <c r="G54" s="45">
        <f>SUM(G55:G56)</f>
        <v>9.04</v>
      </c>
    </row>
    <row r="55" spans="1:7" ht="22.5">
      <c r="A55" s="34">
        <v>83736</v>
      </c>
      <c r="B55" s="35"/>
      <c r="C55" s="257" t="str">
        <f>VLOOKUP(A55,Insumos!$A:$D,2,0)</f>
        <v>Reparo/colagem de estruturas de concreto com adesivo estrutural a base de epoxi, e=2 mm</v>
      </c>
      <c r="D55" s="258" t="str">
        <f>VLOOKUP(A55,Insumos!$A:$D,3,0)</f>
        <v>m²</v>
      </c>
      <c r="E55" s="284">
        <f>ROUND(1.05*((2*3.14*0.004)*0.15/(0.55/2)),4)</f>
        <v>0.0144</v>
      </c>
      <c r="F55" s="247">
        <f>VLOOKUP(A55,Insumos!$A:$D,4,0)</f>
        <v>179.99</v>
      </c>
      <c r="G55" s="36">
        <f>ROUND(E55*F55,2)</f>
        <v>2.59</v>
      </c>
    </row>
    <row r="56" spans="1:7" ht="22.5">
      <c r="A56" s="34" t="s">
        <v>400</v>
      </c>
      <c r="B56" s="35"/>
      <c r="C56" s="257" t="str">
        <f>VLOOKUP(A56,Insumos!$A:$D,2,0)</f>
        <v>Furo em concreto com broca de widia, utilizando martele elétrico Ø 3/8" profundidade 10 cm</v>
      </c>
      <c r="D56" s="258" t="str">
        <f>VLOOKUP(A56,Insumos!$A:$D,3,0)</f>
        <v>un</v>
      </c>
      <c r="E56" s="284">
        <v>1</v>
      </c>
      <c r="F56" s="247">
        <f>VLOOKUP(A56,Insumos!$A:$D,4,0)</f>
        <v>6.45</v>
      </c>
      <c r="G56" s="36">
        <f>ROUND(E56*F56,2)</f>
        <v>6.45</v>
      </c>
    </row>
    <row r="57" spans="1:7" ht="12.75">
      <c r="A57" s="34"/>
      <c r="B57" s="35"/>
      <c r="C57" s="257"/>
      <c r="D57" s="258"/>
      <c r="E57" s="284"/>
      <c r="F57" s="247"/>
      <c r="G57" s="36"/>
    </row>
    <row r="58" spans="1:7" ht="22.5">
      <c r="A58" s="283" t="str">
        <f>'Orçamento Sintético'!A48</f>
        <v>CCU 03.02.113</v>
      </c>
      <c r="B58" s="43" t="str">
        <f>VLOOKUP($A58,'Orçamento Sintético'!$A:$G,2,0)</f>
        <v>03.02.113</v>
      </c>
      <c r="C58" s="285" t="str">
        <f>VLOOKUP($A58,'Orçamento Sintético'!$A:$G,3,0)</f>
        <v>Furo e colagem da armação dos cantos com adesivo estrutural Ø12,5mm</v>
      </c>
      <c r="D58" s="283" t="str">
        <f>VLOOKUP($A58,'Orçamento Sintético'!$A:$G,4,0)</f>
        <v>un</v>
      </c>
      <c r="E58" s="284"/>
      <c r="F58" s="248"/>
      <c r="G58" s="45">
        <f>SUM(G59:G60)</f>
        <v>12.04</v>
      </c>
    </row>
    <row r="59" spans="1:7" ht="22.5">
      <c r="A59" s="34">
        <v>83736</v>
      </c>
      <c r="B59" s="35"/>
      <c r="C59" s="257" t="str">
        <f>VLOOKUP(A59,Insumos!$A:$D,2,0)</f>
        <v>Reparo/colagem de estruturas de concreto com adesivo estrutural a base de epoxi, e=2 mm</v>
      </c>
      <c r="D59" s="258" t="str">
        <f>VLOOKUP(A59,Insumos!$A:$D,3,0)</f>
        <v>m²</v>
      </c>
      <c r="E59" s="284">
        <f>ROUND(1.05*((2*3.14*0.0125/2)*0.15/(0.55/2)),4)</f>
        <v>0.0225</v>
      </c>
      <c r="F59" s="247">
        <f>VLOOKUP(A59,Insumos!$A:$D,4,0)</f>
        <v>179.99</v>
      </c>
      <c r="G59" s="36">
        <f>ROUND(E59*F59,2)</f>
        <v>4.05</v>
      </c>
    </row>
    <row r="60" spans="1:7" ht="22.5">
      <c r="A60" s="34" t="s">
        <v>616</v>
      </c>
      <c r="B60" s="35"/>
      <c r="C60" s="257" t="str">
        <f>VLOOKUP(A60,Insumos!$A:$D,2,0)</f>
        <v>Furo em concreto com broca de widia, utilizando martele elétrico Ø 5/8" profundidade 10 cm</v>
      </c>
      <c r="D60" s="258" t="str">
        <f>VLOOKUP(A60,Insumos!$A:$D,3,0)</f>
        <v>un</v>
      </c>
      <c r="E60" s="284">
        <v>1</v>
      </c>
      <c r="F60" s="247">
        <f>VLOOKUP(A60,Insumos!$A:$D,4,0)</f>
        <v>7.99</v>
      </c>
      <c r="G60" s="36">
        <f>ROUND(E60*F60,2)</f>
        <v>7.99</v>
      </c>
    </row>
    <row r="61" spans="1:7" ht="12.75">
      <c r="A61" s="34"/>
      <c r="B61" s="35"/>
      <c r="C61" s="257"/>
      <c r="D61" s="258"/>
      <c r="E61" s="284"/>
      <c r="F61" s="247"/>
      <c r="G61" s="36"/>
    </row>
    <row r="62" spans="1:7" ht="22.5">
      <c r="A62" s="283" t="str">
        <f>'Orçamento Sintético'!A49</f>
        <v>CCU 03.02.114</v>
      </c>
      <c r="B62" s="43" t="str">
        <f>VLOOKUP($A62,'Orçamento Sintético'!$A:$G,2,0)</f>
        <v>03.02.114</v>
      </c>
      <c r="C62" s="285" t="str">
        <f>VLOOKUP($A62,'Orçamento Sintético'!$A:$G,3,0)</f>
        <v>Furo e colagem da armação dos cantos com adesivo estrutural Ø16,0mm</v>
      </c>
      <c r="D62" s="283" t="str">
        <f>VLOOKUP($A62,'Orçamento Sintético'!$A:$G,4,0)</f>
        <v>un</v>
      </c>
      <c r="E62" s="284"/>
      <c r="F62" s="248"/>
      <c r="G62" s="45">
        <f>SUM(G63:G64)</f>
        <v>15.25</v>
      </c>
    </row>
    <row r="63" spans="1:7" ht="22.5">
      <c r="A63" s="34">
        <v>83736</v>
      </c>
      <c r="B63" s="35"/>
      <c r="C63" s="257" t="str">
        <f>VLOOKUP(A63,Insumos!$A:$D,2,0)</f>
        <v>Reparo/colagem de estruturas de concreto com adesivo estrutural a base de epoxi, e=2 mm</v>
      </c>
      <c r="D63" s="258" t="str">
        <f>VLOOKUP(A63,Insumos!$A:$D,3,0)</f>
        <v>m²</v>
      </c>
      <c r="E63" s="284">
        <f>ROUND(1.05*((2*3.14*0.016/2)*0.15/(0.55/2)),4)</f>
        <v>0.0288</v>
      </c>
      <c r="F63" s="247">
        <f>VLOOKUP(A63,Insumos!$A:$D,4,0)</f>
        <v>179.99</v>
      </c>
      <c r="G63" s="36">
        <f>ROUND(E63*F63,2)</f>
        <v>5.18</v>
      </c>
    </row>
    <row r="64" spans="1:7" ht="22.5">
      <c r="A64" s="34" t="s">
        <v>619</v>
      </c>
      <c r="B64" s="35"/>
      <c r="C64" s="257" t="str">
        <f>VLOOKUP(A64,Insumos!$A:$D,2,0)</f>
        <v>Furo em concreto com broca de widia, utilizando martele elétrico Ø 3/4" profundidade 10 cm</v>
      </c>
      <c r="D64" s="258" t="str">
        <f>VLOOKUP(A64,Insumos!$A:$D,3,0)</f>
        <v>un</v>
      </c>
      <c r="E64" s="284">
        <v>1</v>
      </c>
      <c r="F64" s="247">
        <f>VLOOKUP(A64,Insumos!$A:$D,4,0)</f>
        <v>10.07</v>
      </c>
      <c r="G64" s="36">
        <f>ROUND(E64*F64,2)</f>
        <v>10.07</v>
      </c>
    </row>
    <row r="65" spans="1:7" ht="12.75">
      <c r="A65" s="34"/>
      <c r="B65" s="35"/>
      <c r="C65" s="257"/>
      <c r="D65" s="258"/>
      <c r="E65" s="284"/>
      <c r="F65" s="247"/>
      <c r="G65" s="36"/>
    </row>
    <row r="66" spans="1:7" ht="12.75">
      <c r="A66" s="54"/>
      <c r="B66" s="54" t="str">
        <f>'Orçamento Sintético'!B50</f>
        <v>04.00.000</v>
      </c>
      <c r="C66" s="55" t="str">
        <f>'Orçamento Sintético'!C50</f>
        <v>ARQUITETURA E ELEMENTOS DE URBANISMO</v>
      </c>
      <c r="D66" s="54"/>
      <c r="E66" s="56"/>
      <c r="F66" s="57"/>
      <c r="G66" s="57"/>
    </row>
    <row r="67" spans="1:7" ht="12.75">
      <c r="A67" s="38"/>
      <c r="B67" s="38" t="str">
        <f>'Orçamento Sintético'!B51</f>
        <v>04.01.200</v>
      </c>
      <c r="C67" s="39" t="str">
        <f>'Orçamento Sintético'!C51</f>
        <v>Esquadrias</v>
      </c>
      <c r="D67" s="38"/>
      <c r="E67" s="40"/>
      <c r="F67" s="46"/>
      <c r="G67" s="42"/>
    </row>
    <row r="68" spans="1:7" ht="56.25">
      <c r="A68" s="283" t="str">
        <f>'Orçamento Sintético'!A53</f>
        <v>CCU 04.01.251</v>
      </c>
      <c r="B68" s="43" t="str">
        <f>VLOOKUP($A68,'Orçamento Sintético'!$A:$G,2,0)</f>
        <v>04.01.251</v>
      </c>
      <c r="C68" s="285" t="str">
        <f>VLOOKUP($A68,'Orçamento Sintético'!$A:$G,3,0)</f>
        <v>Portão 6,20x2,10m com uma folha de abrir 0,90x2,10m em perfil de aço "U", cantoneira 3 x 3 cm e tela de arame galv quadrangular / losangular, fio 2,77 mm (12 Bwg), malha 5 x 5 cm - incluso pintura e fundo preparador</v>
      </c>
      <c r="D68" s="283" t="str">
        <f>VLOOKUP($A68,'Orçamento Sintético'!$A:$G,4,0)</f>
        <v>un</v>
      </c>
      <c r="E68" s="284"/>
      <c r="F68" s="248"/>
      <c r="G68" s="45">
        <f>SUM(G69:G79)</f>
        <v>1419.59</v>
      </c>
    </row>
    <row r="69" spans="1:7" ht="22.5">
      <c r="A69" s="34">
        <v>7158</v>
      </c>
      <c r="B69" s="35"/>
      <c r="C69" s="257" t="str">
        <f>VLOOKUP(A69,Insumos!$A:$D,2,0)</f>
        <v>Tela de arame galv quadrangular / losangular, fio 2,77 mm (12 Bwg), malha 5 x 5 cm, h = 2 m</v>
      </c>
      <c r="D69" s="258" t="str">
        <f>VLOOKUP(A69,Insumos!$A:$D,3,0)</f>
        <v>m²</v>
      </c>
      <c r="E69" s="284">
        <f>ROUND(1.1*6*2.1,4)</f>
        <v>13.86</v>
      </c>
      <c r="F69" s="247">
        <f>VLOOKUP(A69,Insumos!$A:$D,4,0)</f>
        <v>20.81</v>
      </c>
      <c r="G69" s="36">
        <f aca="true" t="shared" si="2" ref="G69:G79">ROUND(E69*F69,2)</f>
        <v>288.43</v>
      </c>
    </row>
    <row r="70" spans="1:8" ht="22.5">
      <c r="A70" s="34">
        <v>4777</v>
      </c>
      <c r="B70" s="35"/>
      <c r="C70" s="257" t="str">
        <f>VLOOKUP(A70,Insumos!$A:$D,2,0)</f>
        <v>Cantoneira aco abas iguais (qualquer bitola), espessura entre 1/8" e 1/4"</v>
      </c>
      <c r="D70" s="258" t="str">
        <f>VLOOKUP(A70,Insumos!$A:$D,3,0)</f>
        <v>kg</v>
      </c>
      <c r="E70" s="284">
        <f>ROUND(1.11*(2.1*4+3*2)*0.945,4)</f>
        <v>15.1049</v>
      </c>
      <c r="F70" s="247">
        <f>VLOOKUP(A70,Insumos!$A:$D,4,0)</f>
        <v>4.56</v>
      </c>
      <c r="G70" s="36">
        <f t="shared" si="2"/>
        <v>68.88</v>
      </c>
      <c r="H70" s="127" t="s">
        <v>109</v>
      </c>
    </row>
    <row r="71" spans="1:8" ht="15" customHeight="1">
      <c r="A71" s="34">
        <v>10966</v>
      </c>
      <c r="B71" s="35"/>
      <c r="C71" s="257" t="str">
        <f>VLOOKUP(A71,Insumos!$A:$D,2,0)</f>
        <v>Perfil "U" de aço laminado, "U" 152x15,6</v>
      </c>
      <c r="D71" s="258" t="str">
        <f>VLOOKUP(A71,Insumos!$A:$D,3,0)</f>
        <v>kg</v>
      </c>
      <c r="E71" s="284">
        <f>ROUND(1.11*(2*2.1)*2.055,4)</f>
        <v>9.5804</v>
      </c>
      <c r="F71" s="247">
        <f>VLOOKUP(A71,Insumos!$A:$D,4,0)</f>
        <v>6.16</v>
      </c>
      <c r="G71" s="36">
        <f t="shared" si="2"/>
        <v>59.02</v>
      </c>
      <c r="H71" s="127" t="s">
        <v>111</v>
      </c>
    </row>
    <row r="72" spans="1:7" ht="33.75">
      <c r="A72" s="34">
        <v>2433</v>
      </c>
      <c r="B72" s="35"/>
      <c r="C72" s="257" t="str">
        <f>VLOOKUP(A72,Insumos!$A:$D,2,0)</f>
        <v>Dobradiça em aço/ferro, 3" x 2 1/2", e= 1,2 a 1,8 mm, sem anel, cromado ou zincado, tampa chata, com parafusos</v>
      </c>
      <c r="D72" s="258" t="str">
        <f>VLOOKUP(A72,Insumos!$A:$D,3,0)</f>
        <v>un</v>
      </c>
      <c r="E72" s="284">
        <v>6</v>
      </c>
      <c r="F72" s="247">
        <f>VLOOKUP(A72,Insumos!$A:$D,4,0)</f>
        <v>6.45</v>
      </c>
      <c r="G72" s="36">
        <f t="shared" si="2"/>
        <v>38.7</v>
      </c>
    </row>
    <row r="73" spans="1:7" ht="22.5">
      <c r="A73" s="34" t="s">
        <v>380</v>
      </c>
      <c r="B73" s="35"/>
      <c r="C73" s="257" t="str">
        <f>VLOOKUP(A73,Insumos!$A:$D,2,0)</f>
        <v>Pintura esmalte acetinado, duas demãos, sobre superficie metálica</v>
      </c>
      <c r="D73" s="258" t="str">
        <f>VLOOKUP(A73,Insumos!$A:$D,3,0)</f>
        <v>m²</v>
      </c>
      <c r="E73" s="284">
        <f>ROUND(6.2*2.1,4)</f>
        <v>13.02</v>
      </c>
      <c r="F73" s="247">
        <f>VLOOKUP(A73,Insumos!$A:$D,4,0)</f>
        <v>25.6</v>
      </c>
      <c r="G73" s="36">
        <f t="shared" si="2"/>
        <v>333.31</v>
      </c>
    </row>
    <row r="74" spans="1:7" ht="22.5">
      <c r="A74" s="34">
        <v>84660</v>
      </c>
      <c r="B74" s="35"/>
      <c r="C74" s="257" t="str">
        <f>VLOOKUP(A74,Insumos!$A:$D,2,0)</f>
        <v>Fundo preparador primer sintético, para estrutura metálica, uma demão, espessura de 25 micra</v>
      </c>
      <c r="D74" s="258" t="str">
        <f>VLOOKUP(A74,Insumos!$A:$D,3,0)</f>
        <v>m²</v>
      </c>
      <c r="E74" s="284">
        <f>E73</f>
        <v>13.02</v>
      </c>
      <c r="F74" s="247">
        <f>VLOOKUP(A74,Insumos!$A:$D,4,0)</f>
        <v>6.14</v>
      </c>
      <c r="G74" s="36">
        <f t="shared" si="2"/>
        <v>79.94</v>
      </c>
    </row>
    <row r="75" spans="1:7" ht="12.75">
      <c r="A75" s="34">
        <v>88315</v>
      </c>
      <c r="B75" s="35"/>
      <c r="C75" s="257" t="str">
        <f>VLOOKUP(A75,Insumos!$A:$D,2,0)</f>
        <v>Serralheiro com encargos complementares</v>
      </c>
      <c r="D75" s="258" t="str">
        <f>VLOOKUP(A75,Insumos!$A:$D,3,0)</f>
        <v>h</v>
      </c>
      <c r="E75" s="284">
        <f>ROUND(SUM(G69:G72)/SUM(F75:F77),4)</f>
        <v>7.4816</v>
      </c>
      <c r="F75" s="247">
        <f>VLOOKUP(A75,Insumos!$A:$D,4,0)</f>
        <v>21.35</v>
      </c>
      <c r="G75" s="36">
        <f t="shared" si="2"/>
        <v>159.73</v>
      </c>
    </row>
    <row r="76" spans="1:7" ht="18.75" customHeight="1">
      <c r="A76" s="34">
        <v>88317</v>
      </c>
      <c r="B76" s="35"/>
      <c r="C76" s="257" t="str">
        <f>VLOOKUP(A76,Insumos!$A:$D,2,0)</f>
        <v>Soldador com encargos complementares</v>
      </c>
      <c r="D76" s="258" t="str">
        <f>VLOOKUP(A76,Insumos!$A:$D,3,0)</f>
        <v>h</v>
      </c>
      <c r="E76" s="284">
        <f>E75</f>
        <v>7.4816</v>
      </c>
      <c r="F76" s="247">
        <f>VLOOKUP(A76,Insumos!$A:$D,4,0)</f>
        <v>22.12</v>
      </c>
      <c r="G76" s="36">
        <f t="shared" si="2"/>
        <v>165.49</v>
      </c>
    </row>
    <row r="77" spans="1:7" ht="22.5">
      <c r="A77" s="34">
        <v>88251</v>
      </c>
      <c r="B77" s="35"/>
      <c r="C77" s="257" t="str">
        <f>VLOOKUP(A77,Insumos!$A:$D,2,0)</f>
        <v>Auxiliar de serralheiro com encargos complementares</v>
      </c>
      <c r="D77" s="258" t="str">
        <f>VLOOKUP(A77,Insumos!$A:$D,3,0)</f>
        <v>h</v>
      </c>
      <c r="E77" s="284">
        <f>E76</f>
        <v>7.4816</v>
      </c>
      <c r="F77" s="247">
        <f>VLOOKUP(A77,Insumos!$A:$D,4,0)</f>
        <v>17.35</v>
      </c>
      <c r="G77" s="36">
        <f t="shared" si="2"/>
        <v>129.81</v>
      </c>
    </row>
    <row r="78" spans="1:7" ht="12.75">
      <c r="A78" s="34">
        <v>88309</v>
      </c>
      <c r="B78" s="35"/>
      <c r="C78" s="257" t="str">
        <f>VLOOKUP(A78,Insumos!$A:$D,2,0)</f>
        <v>Pedreiro com encargos complementares</v>
      </c>
      <c r="D78" s="258" t="str">
        <f>VLOOKUP(A78,Insumos!$A:$D,3,0)</f>
        <v>h</v>
      </c>
      <c r="E78" s="284">
        <f>0.4*2.1*3</f>
        <v>2.5200000000000005</v>
      </c>
      <c r="F78" s="247">
        <f>VLOOKUP(A78,Insumos!$A:$D,4,0)</f>
        <v>21.47</v>
      </c>
      <c r="G78" s="36">
        <f t="shared" si="2"/>
        <v>54.1</v>
      </c>
    </row>
    <row r="79" spans="1:7" ht="12.75">
      <c r="A79" s="34">
        <v>88316</v>
      </c>
      <c r="B79" s="35"/>
      <c r="C79" s="257" t="str">
        <f>VLOOKUP(A79,Insumos!$A:$D,2,0)</f>
        <v>Servente com encargos complementares</v>
      </c>
      <c r="D79" s="258" t="str">
        <f>VLOOKUP(A79,Insumos!$A:$D,3,0)</f>
        <v>h</v>
      </c>
      <c r="E79" s="284">
        <f>0.424*2.1*3</f>
        <v>2.6712</v>
      </c>
      <c r="F79" s="247">
        <f>VLOOKUP(A79,Insumos!$A:$D,4,0)</f>
        <v>15.79</v>
      </c>
      <c r="G79" s="36">
        <f t="shared" si="2"/>
        <v>42.18</v>
      </c>
    </row>
    <row r="80" spans="1:7" ht="12.75">
      <c r="A80" s="260"/>
      <c r="B80" s="43"/>
      <c r="C80" s="257"/>
      <c r="D80" s="287"/>
      <c r="E80" s="284"/>
      <c r="F80" s="247"/>
      <c r="G80" s="36"/>
    </row>
    <row r="81" spans="1:7" ht="12.75">
      <c r="A81" s="38"/>
      <c r="B81" s="38" t="str">
        <f>'Orçamento Sintético'!B54</f>
        <v>04.01.500</v>
      </c>
      <c r="C81" s="183" t="str">
        <f>'Orçamento Sintético'!C54</f>
        <v>Revestimentos</v>
      </c>
      <c r="D81" s="38"/>
      <c r="E81" s="40"/>
      <c r="F81" s="46"/>
      <c r="G81" s="42"/>
    </row>
    <row r="82" spans="1:7" ht="33.75">
      <c r="A82" s="283" t="str">
        <f>'Orçamento Sintético'!A56</f>
        <v>CCU 04.01.511</v>
      </c>
      <c r="B82" s="43" t="str">
        <f>VLOOKUP($A82,'Orçamento Sintético'!$A:$G,2,0)</f>
        <v>04.01.511</v>
      </c>
      <c r="C82" s="285" t="str">
        <f>VLOOKUP($A82,'Orçamento Sintético'!$A:$G,3,0)</f>
        <v>Piso em concreto estrutural de 35MPa, acabamento polido, espessura de 12cm, armado com tela soldada Q196 barra 5mm</v>
      </c>
      <c r="D82" s="283" t="str">
        <f>VLOOKUP($A82,'Orçamento Sintético'!$A:$G,4,0)</f>
        <v>m²</v>
      </c>
      <c r="E82" s="284"/>
      <c r="F82" s="248"/>
      <c r="G82" s="45">
        <f>SUM(G83:G93)</f>
        <v>94.46000000000001</v>
      </c>
    </row>
    <row r="83" spans="1:7" ht="12.75">
      <c r="A83" s="34">
        <v>1379</v>
      </c>
      <c r="B83" s="35"/>
      <c r="C83" s="257" t="str">
        <f>VLOOKUP(A83,Insumos!$A:$D,2,0)</f>
        <v>Cimento Portland composto CPII-32</v>
      </c>
      <c r="D83" s="258" t="str">
        <f>VLOOKUP(A83,Insumos!$A:$D,3,0)</f>
        <v>kg</v>
      </c>
      <c r="E83" s="284">
        <f>463*0.12</f>
        <v>55.559999999999995</v>
      </c>
      <c r="F83" s="247">
        <f>VLOOKUP(A83,Insumos!$A:$D,4,0)</f>
        <v>0.41</v>
      </c>
      <c r="G83" s="36">
        <f aca="true" t="shared" si="3" ref="G83:G92">ROUND(E83*F83,2)</f>
        <v>22.78</v>
      </c>
    </row>
    <row r="84" spans="1:7" ht="22.5">
      <c r="A84" s="34">
        <v>370</v>
      </c>
      <c r="B84" s="35"/>
      <c r="C84" s="257" t="str">
        <f>VLOOKUP(A84,Insumos!$A:$D,2,0)</f>
        <v>Areia média - posto jazida / fornecedor (retirado na jazida, sem transporte)</v>
      </c>
      <c r="D84" s="258" t="str">
        <f>VLOOKUP(A84,Insumos!$A:$D,3,0)</f>
        <v>m³</v>
      </c>
      <c r="E84" s="284">
        <f>0.506*0.12</f>
        <v>0.060719999999999996</v>
      </c>
      <c r="F84" s="247">
        <f>VLOOKUP(A84,Insumos!$A:$D,4,0)</f>
        <v>89.82</v>
      </c>
      <c r="G84" s="36">
        <f t="shared" si="3"/>
        <v>5.45</v>
      </c>
    </row>
    <row r="85" spans="1:7" ht="22.5">
      <c r="A85" s="34">
        <v>4721</v>
      </c>
      <c r="B85" s="35"/>
      <c r="C85" s="257" t="str">
        <f>VLOOKUP(A85,Insumos!$A:$D,2,0)</f>
        <v>Pedra britada n.1 (9,5 a 19mm) posto pedreira / fornecedor, sem frete</v>
      </c>
      <c r="D85" s="258" t="str">
        <f>VLOOKUP(A85,Insumos!$A:$D,3,0)</f>
        <v>m³</v>
      </c>
      <c r="E85" s="284">
        <f>0.721*0.05</f>
        <v>0.03605</v>
      </c>
      <c r="F85" s="247">
        <f>VLOOKUP(A85,Insumos!$A:$D,4,0)</f>
        <v>80.57</v>
      </c>
      <c r="G85" s="36">
        <f t="shared" si="3"/>
        <v>2.9</v>
      </c>
    </row>
    <row r="86" spans="1:7" ht="33.75">
      <c r="A86" s="34">
        <v>89225</v>
      </c>
      <c r="B86" s="35"/>
      <c r="C86" s="257" t="str">
        <f>VLOOKUP(A86,Insumos!$A:$D,2,0)</f>
        <v>Betoneira capacidade nominal de 600 l, capacidade de mistura 360 l, motor elétrico trifásico potência de 4cv, sem carregador - chp diurno. AF_11/2014</v>
      </c>
      <c r="D86" s="258" t="str">
        <f>VLOOKUP(A86,Insumos!$A:$D,3,0)</f>
        <v>chp</v>
      </c>
      <c r="E86" s="284">
        <f>0.66*0.12</f>
        <v>0.0792</v>
      </c>
      <c r="F86" s="247">
        <f>VLOOKUP(A86,Insumos!$A:$D,4,0)</f>
        <v>3.55</v>
      </c>
      <c r="G86" s="36">
        <f t="shared" si="3"/>
        <v>0.28</v>
      </c>
    </row>
    <row r="87" spans="1:7" ht="33.75">
      <c r="A87" s="34">
        <v>89226</v>
      </c>
      <c r="B87" s="35"/>
      <c r="C87" s="257" t="str">
        <f>VLOOKUP(A87,Insumos!$A:$D,2,0)</f>
        <v>Betoneira capacidade nominal de 600 l, capacidade de mistura 360 l, motor elétrico trifásico potência de 4cv, sem carregador - chi diurno. AF_11/2014</v>
      </c>
      <c r="D87" s="258" t="str">
        <f>VLOOKUP(A87,Insumos!$A:$D,3,0)</f>
        <v>chi</v>
      </c>
      <c r="E87" s="284">
        <f>0.62*0.12</f>
        <v>0.0744</v>
      </c>
      <c r="F87" s="247">
        <f>VLOOKUP(A87,Insumos!$A:$D,4,0)</f>
        <v>1.09</v>
      </c>
      <c r="G87" s="36">
        <f t="shared" si="3"/>
        <v>0.08</v>
      </c>
    </row>
    <row r="88" spans="1:7" ht="33.75">
      <c r="A88" s="34">
        <v>7156</v>
      </c>
      <c r="B88" s="35"/>
      <c r="C88" s="257" t="str">
        <f>VLOOKUP(A88,Insumos!$A:$D,2,0)</f>
        <v>Tela de aço soldada nervurada, CA-60, Q-196, (3,11 kg/m2), diâmetro do fio = 5,0 mm, largura =  2,45 m, espaçamento da malha = 10 x 10 cm</v>
      </c>
      <c r="D88" s="258" t="str">
        <f>VLOOKUP(A88,Insumos!$A:$D,3,0)</f>
        <v>m²</v>
      </c>
      <c r="E88" s="284">
        <v>1.05</v>
      </c>
      <c r="F88" s="247">
        <f>VLOOKUP(A88,Insumos!$A:$D,4,0)</f>
        <v>19.07</v>
      </c>
      <c r="G88" s="36">
        <f t="shared" si="3"/>
        <v>20.02</v>
      </c>
    </row>
    <row r="89" spans="1:7" ht="22.5">
      <c r="A89" s="34">
        <v>88377</v>
      </c>
      <c r="B89" s="35"/>
      <c r="C89" s="257" t="str">
        <f>VLOOKUP(A89,Insumos!$A:$D,2,0)</f>
        <v>Operador de betoneira estacionária / misturador com encargos complementares</v>
      </c>
      <c r="D89" s="258" t="str">
        <f>VLOOKUP(A89,Insumos!$A:$D,3,0)</f>
        <v>h</v>
      </c>
      <c r="E89" s="284">
        <f>1.28*0.12</f>
        <v>0.1536</v>
      </c>
      <c r="F89" s="247">
        <f>VLOOKUP(A89,Insumos!$A:$D,4,0)</f>
        <v>16.01</v>
      </c>
      <c r="G89" s="36">
        <f t="shared" si="3"/>
        <v>2.46</v>
      </c>
    </row>
    <row r="90" spans="1:7" ht="12.75">
      <c r="A90" s="34">
        <v>88309</v>
      </c>
      <c r="B90" s="35"/>
      <c r="C90" s="257" t="str">
        <f>VLOOKUP(A90,Insumos!$A:$D,2,0)</f>
        <v>Pedreiro com encargos complementares</v>
      </c>
      <c r="D90" s="258" t="str">
        <f>VLOOKUP(A90,Insumos!$A:$D,3,0)</f>
        <v>h</v>
      </c>
      <c r="E90" s="284">
        <f>0.26</f>
        <v>0.26</v>
      </c>
      <c r="F90" s="247">
        <f>VLOOKUP(A90,Insumos!$A:$D,4,0)</f>
        <v>21.47</v>
      </c>
      <c r="G90" s="36">
        <f t="shared" si="3"/>
        <v>5.58</v>
      </c>
    </row>
    <row r="91" spans="1:7" ht="12.75">
      <c r="A91" s="34">
        <v>88316</v>
      </c>
      <c r="B91" s="35"/>
      <c r="C91" s="257" t="str">
        <f>VLOOKUP(A91,Insumos!$A:$D,2,0)</f>
        <v>Servente com encargos complementares</v>
      </c>
      <c r="D91" s="258" t="str">
        <f>VLOOKUP(A91,Insumos!$A:$D,3,0)</f>
        <v>h</v>
      </c>
      <c r="E91" s="284">
        <f>2.03*0.12+1.94</f>
        <v>2.1835999999999998</v>
      </c>
      <c r="F91" s="247">
        <f>VLOOKUP(A91,Insumos!$A:$D,4,0)</f>
        <v>15.79</v>
      </c>
      <c r="G91" s="36">
        <f t="shared" si="3"/>
        <v>34.48</v>
      </c>
    </row>
    <row r="92" spans="1:7" ht="12.75">
      <c r="A92" s="34">
        <v>88245</v>
      </c>
      <c r="B92" s="35"/>
      <c r="C92" s="257" t="str">
        <f>VLOOKUP(A92,Insumos!$A:$D,2,0)</f>
        <v>Armador com encargos complementares</v>
      </c>
      <c r="D92" s="258" t="str">
        <f>VLOOKUP(A92,Insumos!$A:$D,3,0)</f>
        <v>h</v>
      </c>
      <c r="E92" s="284">
        <v>0.02</v>
      </c>
      <c r="F92" s="247">
        <f>VLOOKUP(A92,Insumos!$A:$D,4,0)</f>
        <v>21.35</v>
      </c>
      <c r="G92" s="36">
        <f t="shared" si="3"/>
        <v>0.43</v>
      </c>
    </row>
    <row r="93" spans="1:7" ht="12.75">
      <c r="A93" s="260"/>
      <c r="B93" s="43"/>
      <c r="C93" s="257"/>
      <c r="D93" s="287"/>
      <c r="E93" s="284"/>
      <c r="F93" s="247"/>
      <c r="G93" s="36"/>
    </row>
    <row r="94" spans="1:7" ht="33.75">
      <c r="A94" s="283" t="str">
        <f>'Orçamento Sintético'!A57</f>
        <v>CCU 04.01.512</v>
      </c>
      <c r="B94" s="43" t="str">
        <f>VLOOKUP($A94,'Orçamento Sintético'!$A:$G,2,0)</f>
        <v>04.01.512</v>
      </c>
      <c r="C94" s="285" t="str">
        <f>VLOOKUP($A94,'Orçamento Sintético'!$A:$G,3,0)</f>
        <v>Piso em concreto 20MPa preparo mecânico, espessura 7cm, armado com tela soldada Q92 barra 4,2mm</v>
      </c>
      <c r="D94" s="283" t="str">
        <f>VLOOKUP($A94,'Orçamento Sintético'!$A:$G,4,0)</f>
        <v>m²</v>
      </c>
      <c r="E94" s="284"/>
      <c r="F94" s="248"/>
      <c r="G94" s="45">
        <f>SUM(G95:G99)</f>
        <v>67.92999999999999</v>
      </c>
    </row>
    <row r="95" spans="1:7" ht="33.75">
      <c r="A95" s="34">
        <v>94970</v>
      </c>
      <c r="B95" s="35"/>
      <c r="C95" s="257" t="str">
        <f>VLOOKUP(A95,Insumos!$A:$D,2,0)</f>
        <v>Concreto Fck = 20 MPa, traço 1:2,7:3 (cimento / areia média / brita 1) - preparo mecânico com betoneira 600l. AF_07/2016</v>
      </c>
      <c r="D95" s="258" t="str">
        <f>VLOOKUP(A95,Insumos!$A:$D,3,0)</f>
        <v>m³</v>
      </c>
      <c r="E95" s="284">
        <v>0.07</v>
      </c>
      <c r="F95" s="247">
        <f>VLOOKUP(A95,Insumos!$A:$D,4,0)</f>
        <v>304.82</v>
      </c>
      <c r="G95" s="36">
        <f>ROUND(E95*F95,2)</f>
        <v>21.34</v>
      </c>
    </row>
    <row r="96" spans="1:7" ht="45">
      <c r="A96" s="34">
        <v>21141</v>
      </c>
      <c r="B96" s="35"/>
      <c r="C96" s="257" t="str">
        <f>VLOOKUP(A96,Insumos!$A:$D,2,0)</f>
        <v>Tela de çao soldada nervurada CA-60, Q-92, (1,48 kg/m²), diâmetro do fio = 4,2mm, largura = 2,45 x 60m de comprimento, espaçamento da malha = 15 x 15 cm</v>
      </c>
      <c r="D96" s="258" t="str">
        <f>VLOOKUP(A96,Insumos!$A:$D,3,0)</f>
        <v>m²</v>
      </c>
      <c r="E96" s="284">
        <v>1.05</v>
      </c>
      <c r="F96" s="247">
        <f>VLOOKUP(A96,Insumos!$A:$D,4,0)</f>
        <v>9.48</v>
      </c>
      <c r="G96" s="36">
        <f>ROUND(E96*F96,2)</f>
        <v>9.95</v>
      </c>
    </row>
    <row r="97" spans="1:7" ht="12.75">
      <c r="A97" s="34">
        <v>88245</v>
      </c>
      <c r="B97" s="35"/>
      <c r="C97" s="257" t="str">
        <f>VLOOKUP(A97,Insumos!$A:$D,2,0)</f>
        <v>Armador com encargos complementares</v>
      </c>
      <c r="D97" s="258" t="str">
        <f>VLOOKUP(A97,Insumos!$A:$D,3,0)</f>
        <v>h</v>
      </c>
      <c r="E97" s="284">
        <v>0.02</v>
      </c>
      <c r="F97" s="247">
        <f>VLOOKUP(A97,Insumos!$A:$D,4,0)</f>
        <v>21.35</v>
      </c>
      <c r="G97" s="36">
        <f>ROUND(E97*F97,2)</f>
        <v>0.43</v>
      </c>
    </row>
    <row r="98" spans="1:7" ht="12.75">
      <c r="A98" s="34">
        <v>88309</v>
      </c>
      <c r="B98" s="35"/>
      <c r="C98" s="257" t="str">
        <f>VLOOKUP(A98,Insumos!$A:$D,2,0)</f>
        <v>Pedreiro com encargos complementares</v>
      </c>
      <c r="D98" s="258" t="str">
        <f>VLOOKUP(A98,Insumos!$A:$D,3,0)</f>
        <v>h</v>
      </c>
      <c r="E98" s="284">
        <v>0.26</v>
      </c>
      <c r="F98" s="247">
        <f>VLOOKUP(A98,Insumos!$A:$D,4,0)</f>
        <v>21.47</v>
      </c>
      <c r="G98" s="36">
        <f>ROUND(E98*F98,2)</f>
        <v>5.58</v>
      </c>
    </row>
    <row r="99" spans="1:7" ht="12.75">
      <c r="A99" s="34">
        <v>88316</v>
      </c>
      <c r="B99" s="35"/>
      <c r="C99" s="257" t="str">
        <f>VLOOKUP(A99,Insumos!$A:$D,2,0)</f>
        <v>Servente com encargos complementares</v>
      </c>
      <c r="D99" s="258" t="str">
        <f>VLOOKUP(A99,Insumos!$A:$D,3,0)</f>
        <v>h</v>
      </c>
      <c r="E99" s="284">
        <v>1.94</v>
      </c>
      <c r="F99" s="247">
        <f>VLOOKUP(A99,Insumos!$A:$D,4,0)</f>
        <v>15.79</v>
      </c>
      <c r="G99" s="36">
        <f>ROUND(E99*F99,2)</f>
        <v>30.63</v>
      </c>
    </row>
    <row r="100" spans="1:7" ht="12.75">
      <c r="A100" s="260"/>
      <c r="B100" s="303"/>
      <c r="C100" s="304"/>
      <c r="D100" s="287"/>
      <c r="E100" s="305"/>
      <c r="F100" s="306"/>
      <c r="G100" s="36"/>
    </row>
    <row r="101" spans="1:7" ht="33.75">
      <c r="A101" s="283" t="str">
        <f>'Orçamento Sintético'!A59</f>
        <v>CCU 04.01.551</v>
      </c>
      <c r="B101" s="43" t="str">
        <f>VLOOKUP($A101,'Orçamento Sintético'!$A:$G,2,0)</f>
        <v>04.01.551</v>
      </c>
      <c r="C101" s="285" t="str">
        <f>VLOOKUP($A101,'Orçamento Sintético'!$A:$G,3,0)</f>
        <v>Forro de gesso acartonado fixo # 12,5 mm com acabamento monolítico fixado com perfis de aço galvanizado, instalado</v>
      </c>
      <c r="D101" s="283" t="str">
        <f>VLOOKUP($A101,'Orçamento Sintético'!$A:$G,4,0)</f>
        <v>m²</v>
      </c>
      <c r="E101" s="284"/>
      <c r="F101" s="248"/>
      <c r="G101" s="45">
        <f>SUM(G102)</f>
        <v>55.16</v>
      </c>
    </row>
    <row r="102" spans="1:7" ht="33.75">
      <c r="A102" s="34" t="s">
        <v>404</v>
      </c>
      <c r="B102" s="35"/>
      <c r="C102" s="257" t="str">
        <f>VLOOKUP(A102,Insumos!$A:$D,2,0)</f>
        <v>Forro de gesso acartonado fixo # 12,5 mm com acabamento monolítico fixado com perfis de aço galvanizado, instalado</v>
      </c>
      <c r="D102" s="258" t="str">
        <f>VLOOKUP(A102,Insumos!$A:$D,3,0)</f>
        <v>m²</v>
      </c>
      <c r="E102" s="284">
        <v>1</v>
      </c>
      <c r="F102" s="247">
        <f>VLOOKUP(A102,Insumos!$A:$D,4,0)</f>
        <v>55.16</v>
      </c>
      <c r="G102" s="36">
        <f>ROUND(E102*F102,2)</f>
        <v>55.16</v>
      </c>
    </row>
    <row r="103" spans="1:7" ht="12.75">
      <c r="A103" s="260"/>
      <c r="B103" s="43"/>
      <c r="C103" s="257"/>
      <c r="D103" s="287"/>
      <c r="E103" s="284"/>
      <c r="F103" s="247"/>
      <c r="G103" s="36"/>
    </row>
    <row r="104" spans="1:7" ht="22.5">
      <c r="A104" s="283" t="str">
        <f>'Orçamento Sintético'!A67</f>
        <v>CCU 04.01.567</v>
      </c>
      <c r="B104" s="43" t="str">
        <f>VLOOKUP($A104,'Orçamento Sintético'!$A:$G,2,0)</f>
        <v>04.01.567</v>
      </c>
      <c r="C104" s="285" t="str">
        <f>VLOOKUP($A104,'Orçamento Sintético'!$A:$G,3,0)</f>
        <v>Pintura esmalte sobre tubulação de PVC, intervalo de Ø 20mm - 150mm, 2 demãos</v>
      </c>
      <c r="D104" s="283" t="str">
        <f>VLOOKUP($A104,'Orçamento Sintético'!$A:$G,4,0)</f>
        <v>m</v>
      </c>
      <c r="E104" s="284"/>
      <c r="F104" s="248"/>
      <c r="G104" s="45">
        <f>SUM(G105:G109)</f>
        <v>8.02</v>
      </c>
    </row>
    <row r="105" spans="1:7" ht="12.75">
      <c r="A105" s="34">
        <v>7292</v>
      </c>
      <c r="B105" s="35"/>
      <c r="C105" s="257" t="str">
        <f>VLOOKUP(A105,Insumos!$A:$D,2,0)</f>
        <v>Tinta esmalte sintético premium brilhante</v>
      </c>
      <c r="D105" s="258" t="str">
        <f>VLOOKUP(A105,Insumos!$A:$D,3,0)</f>
        <v>l</v>
      </c>
      <c r="E105" s="284">
        <f>ROUND((0.12)*0.2318,3)</f>
        <v>0.028</v>
      </c>
      <c r="F105" s="247">
        <f>VLOOKUP(A105,Insumos!$A:$D,4,0)</f>
        <v>23.85</v>
      </c>
      <c r="G105" s="36">
        <f>ROUND(E105*F105,2)</f>
        <v>0.67</v>
      </c>
    </row>
    <row r="106" spans="1:7" ht="12.75">
      <c r="A106" s="34">
        <v>5318</v>
      </c>
      <c r="B106" s="35"/>
      <c r="C106" s="257" t="str">
        <f>VLOOKUP(A106,Insumos!$A:$D,2,0)</f>
        <v>Solvente diluente a base de aguarras</v>
      </c>
      <c r="D106" s="258" t="str">
        <f>VLOOKUP(A106,Insumos!$A:$D,3,0)</f>
        <v>l</v>
      </c>
      <c r="E106" s="284">
        <f>ROUND((0.05)*0.2318,3)</f>
        <v>0.012</v>
      </c>
      <c r="F106" s="247">
        <f>VLOOKUP(A106,Insumos!$A:$D,4,0)</f>
        <v>10.72</v>
      </c>
      <c r="G106" s="36">
        <f>ROUND(E106*F106,2)</f>
        <v>0.13</v>
      </c>
    </row>
    <row r="107" spans="1:7" ht="12.75">
      <c r="A107" s="34">
        <v>38383</v>
      </c>
      <c r="B107" s="35"/>
      <c r="C107" s="257" t="str">
        <f>VLOOKUP(A107,Insumos!$A:$D,2,0)</f>
        <v>Lixa d'água em folha, grão 100</v>
      </c>
      <c r="D107" s="258" t="str">
        <f>VLOOKUP(A107,Insumos!$A:$D,3,0)</f>
        <v>un</v>
      </c>
      <c r="E107" s="284">
        <f>ROUND((0.3)*0.2318,3)</f>
        <v>0.07</v>
      </c>
      <c r="F107" s="247">
        <f>VLOOKUP(A107,Insumos!$A:$D,4,0)</f>
        <v>1.65</v>
      </c>
      <c r="G107" s="36">
        <f>ROUND(E107*F107,2)</f>
        <v>0.12</v>
      </c>
    </row>
    <row r="108" spans="1:7" ht="12.75">
      <c r="A108" s="34">
        <v>88310</v>
      </c>
      <c r="B108" s="35"/>
      <c r="C108" s="257" t="str">
        <f>VLOOKUP(A108,Insumos!$A:$D,2,0)</f>
        <v>Pintor com encargos complementares</v>
      </c>
      <c r="D108" s="258" t="str">
        <f>VLOOKUP(A108,Insumos!$A:$D,3,0)</f>
        <v>h</v>
      </c>
      <c r="E108" s="284">
        <f>ROUND((0.8)*0.2318,3)</f>
        <v>0.185</v>
      </c>
      <c r="F108" s="247">
        <f>VLOOKUP(A108,Insumos!$A:$D,4,0)</f>
        <v>22.58</v>
      </c>
      <c r="G108" s="36">
        <f>ROUND(E108*F108,2)</f>
        <v>4.18</v>
      </c>
    </row>
    <row r="109" spans="1:7" ht="12.75">
      <c r="A109" s="34">
        <v>88316</v>
      </c>
      <c r="B109" s="35"/>
      <c r="C109" s="257" t="str">
        <f>VLOOKUP(A109,Insumos!$A:$D,2,0)</f>
        <v>Servente com encargos complementares</v>
      </c>
      <c r="D109" s="258" t="str">
        <f>VLOOKUP(A109,Insumos!$A:$D,3,0)</f>
        <v>h</v>
      </c>
      <c r="E109" s="284">
        <f>ROUND((0.8)*0.2318,3)</f>
        <v>0.185</v>
      </c>
      <c r="F109" s="247">
        <f>VLOOKUP(A109,Insumos!$A:$D,4,0)</f>
        <v>15.79</v>
      </c>
      <c r="G109" s="36">
        <f>ROUND(E109*F109,2)</f>
        <v>2.92</v>
      </c>
    </row>
    <row r="110" spans="1:7" ht="12.75">
      <c r="A110" s="288"/>
      <c r="B110" s="288"/>
      <c r="C110" s="187"/>
      <c r="D110" s="188"/>
      <c r="E110" s="129"/>
      <c r="F110" s="189"/>
      <c r="G110" s="36"/>
    </row>
    <row r="111" spans="1:7" ht="12.75">
      <c r="A111" s="38"/>
      <c r="B111" s="38" t="str">
        <f>'Orçamento Sintético'!B68</f>
        <v>04.01.600</v>
      </c>
      <c r="C111" s="183" t="str">
        <f>'Orçamento Sintético'!C68</f>
        <v>Impermeabilizações</v>
      </c>
      <c r="D111" s="38"/>
      <c r="E111" s="40"/>
      <c r="F111" s="46"/>
      <c r="G111" s="42"/>
    </row>
    <row r="112" spans="1:8" s="290" customFormat="1" ht="22.5">
      <c r="A112" s="283" t="str">
        <f>'Orçamento Sintético'!A71</f>
        <v>CCU 04.01.603</v>
      </c>
      <c r="B112" s="43" t="str">
        <f>VLOOKUP($A112,'Orçamento Sintético'!$A:$G,2,0)</f>
        <v>04.01.603</v>
      </c>
      <c r="C112" s="285" t="str">
        <f>'Orçamento Sintético'!C71</f>
        <v>Impermeabilização de superfície com manta asfáltica (com polímeros tipo APP), e=4 mm</v>
      </c>
      <c r="D112" s="283" t="str">
        <f>'Orçamento Sintético'!D71</f>
        <v>m²</v>
      </c>
      <c r="E112" s="284"/>
      <c r="F112" s="248"/>
      <c r="G112" s="45">
        <f>SUM(G113:G117)</f>
        <v>81.13</v>
      </c>
      <c r="H112" s="289"/>
    </row>
    <row r="113" spans="1:8" s="290" customFormat="1" ht="22.5">
      <c r="A113" s="34">
        <v>4015</v>
      </c>
      <c r="B113" s="35"/>
      <c r="C113" s="257" t="str">
        <f>VLOOKUP(A113,Insumos!$A:$D,2,0)</f>
        <v>Manta asfaltica elastomerica em poliester 4 mm, tipo III, classe B, acabamento PP (NBR 9952)</v>
      </c>
      <c r="D113" s="258" t="str">
        <f>VLOOKUP(A113,Insumos!$A:$D,3,0)</f>
        <v>m²</v>
      </c>
      <c r="E113" s="284">
        <v>1.125</v>
      </c>
      <c r="F113" s="247">
        <f>VLOOKUP(A113,Insumos!$A:$D,4,0)</f>
        <v>42.61</v>
      </c>
      <c r="G113" s="36">
        <f>ROUND(E113*F113,2)</f>
        <v>47.94</v>
      </c>
      <c r="H113" s="289"/>
    </row>
    <row r="114" spans="1:7" ht="33.75">
      <c r="A114" s="34">
        <v>511</v>
      </c>
      <c r="B114" s="35"/>
      <c r="C114" s="257" t="str">
        <f>VLOOKUP(A114,Insumos!$A:$D,2,0)</f>
        <v>Primer para manta asfáltica a base de asfalto modificado diluído em solvente, aplicação a frio tipo Adeflex ou equivalente</v>
      </c>
      <c r="D114" s="258" t="str">
        <f>VLOOKUP(A114,Insumos!$A:$D,3,0)</f>
        <v>l</v>
      </c>
      <c r="E114" s="284">
        <v>0.615</v>
      </c>
      <c r="F114" s="247">
        <f>VLOOKUP(A114,Insumos!$A:$D,4,0)</f>
        <v>12.61</v>
      </c>
      <c r="G114" s="36">
        <f>ROUND(E114*F114,2)</f>
        <v>7.76</v>
      </c>
    </row>
    <row r="115" spans="1:7" ht="12.75">
      <c r="A115" s="34">
        <v>4226</v>
      </c>
      <c r="B115" s="35"/>
      <c r="C115" s="257" t="str">
        <f>VLOOKUP(A115,Insumos!$A:$D,2,0)</f>
        <v>Gás de cozinha GLP</v>
      </c>
      <c r="D115" s="258" t="str">
        <f>VLOOKUP(A115,Insumos!$A:$D,3,0)</f>
        <v>kg</v>
      </c>
      <c r="E115" s="284">
        <v>0.26</v>
      </c>
      <c r="F115" s="247">
        <f>VLOOKUP(A115,Insumos!$A:$D,4,0)</f>
        <v>5.65</v>
      </c>
      <c r="G115" s="36">
        <f>ROUND(E115*F115,2)</f>
        <v>1.47</v>
      </c>
    </row>
    <row r="116" spans="1:7" ht="12.75">
      <c r="A116" s="34">
        <v>88270</v>
      </c>
      <c r="B116" s="35"/>
      <c r="C116" s="257" t="str">
        <f>VLOOKUP(A116,Insumos!$A:$D,2,0)</f>
        <v>Impermeabilizador com encargos complementares</v>
      </c>
      <c r="D116" s="258" t="str">
        <f>VLOOKUP(A116,Insumos!$A:$D,3,0)</f>
        <v>h</v>
      </c>
      <c r="E116" s="284">
        <v>0.948</v>
      </c>
      <c r="F116" s="247">
        <f>VLOOKUP(A116,Insumos!$A:$D,4,0)</f>
        <v>21.47</v>
      </c>
      <c r="G116" s="36">
        <f>ROUND(E116*F116,2)</f>
        <v>20.35</v>
      </c>
    </row>
    <row r="117" spans="1:7" ht="22.5">
      <c r="A117" s="34">
        <v>88243</v>
      </c>
      <c r="B117" s="35"/>
      <c r="C117" s="257" t="str">
        <f>VLOOKUP(A117,Insumos!$A:$D,2,0)</f>
        <v>Ajudante especializado com encargos complementares</v>
      </c>
      <c r="D117" s="258" t="str">
        <f>VLOOKUP(A117,Insumos!$A:$D,3,0)</f>
        <v>h</v>
      </c>
      <c r="E117" s="284">
        <v>0.192</v>
      </c>
      <c r="F117" s="247">
        <f>VLOOKUP(A117,Insumos!$A:$D,4,0)</f>
        <v>18.78</v>
      </c>
      <c r="G117" s="36">
        <f>ROUND(E117*F117,2)</f>
        <v>3.61</v>
      </c>
    </row>
    <row r="118" spans="1:7" ht="12.75">
      <c r="A118" s="34"/>
      <c r="B118" s="35"/>
      <c r="C118" s="257"/>
      <c r="D118" s="286"/>
      <c r="E118" s="33"/>
      <c r="F118" s="248"/>
      <c r="G118" s="36"/>
    </row>
    <row r="119" spans="1:7" ht="72" customHeight="1">
      <c r="A119" s="283" t="str">
        <f>'Orçamento Sintético'!A72</f>
        <v>CCU 04.01.604</v>
      </c>
      <c r="B119" s="43" t="str">
        <f>VLOOKUP($A119,'Orçamento Sintético'!$A:$G,2,0)</f>
        <v>04.01.604</v>
      </c>
      <c r="C119" s="285" t="str">
        <f>VLOOKUP($A119,'Orçamento Sintético'!$A:$G,3,0)</f>
        <v>Proteção mecânica horizontal em argamassa desempenada, e=3cm, traço 1:4 (cimento e areia), com tela   de aço soldada, junta de dilatação em sarrafo de madeira e camada separadora com manta geotextil Bidim - Manta RT-14</v>
      </c>
      <c r="D119" s="283" t="str">
        <f>VLOOKUP($A119,'Orçamento Sintético'!$A:$G,4,0)</f>
        <v>m²</v>
      </c>
      <c r="E119" s="284"/>
      <c r="F119" s="248"/>
      <c r="G119" s="45">
        <f>SUM(G120:G124)</f>
        <v>59.49</v>
      </c>
    </row>
    <row r="120" spans="1:7" ht="38.25" customHeight="1">
      <c r="A120" s="34">
        <v>87745</v>
      </c>
      <c r="B120" s="35"/>
      <c r="C120" s="257" t="str">
        <f>VLOOKUP(A120,Insumos!$A:$D,2,0)</f>
        <v>Contrapiso em argamassa traço 1:4 (cimento e areia), preparo mecânico com betoneira 400 l, aplicado em áreas molhadas sobre laje, aderido, espessura 3cm</v>
      </c>
      <c r="D120" s="258" t="str">
        <f>VLOOKUP(A120,Insumos!$A:$D,3,0)</f>
        <v>m²</v>
      </c>
      <c r="E120" s="284">
        <v>1</v>
      </c>
      <c r="F120" s="247">
        <f>VLOOKUP(A120,Insumos!$A:$D,4,0)</f>
        <v>40.81</v>
      </c>
      <c r="G120" s="36">
        <f>ROUND(E120*F120,2)</f>
        <v>40.81</v>
      </c>
    </row>
    <row r="121" spans="1:7" ht="22.5">
      <c r="A121" s="34">
        <v>4415</v>
      </c>
      <c r="B121" s="35"/>
      <c r="C121" s="257" t="str">
        <f>VLOOKUP(A121,Insumos!$A:$D,2,0)</f>
        <v>Sarrafo de madeira não aparelhada 2,5 x 5 cm, maçaranduba, Angelim ou equivalente da região</v>
      </c>
      <c r="D121" s="258" t="str">
        <f>VLOOKUP(A121,Insumos!$A:$D,3,0)</f>
        <v>m</v>
      </c>
      <c r="E121" s="284">
        <f>ROUND(2*1.2/(1.2*1.2)*1.05,4)</f>
        <v>1.75</v>
      </c>
      <c r="F121" s="247">
        <f>VLOOKUP(A121,Insumos!$A:$D,4,0)</f>
        <v>4.5</v>
      </c>
      <c r="G121" s="36">
        <f>ROUND(E121*F121,2)</f>
        <v>7.88</v>
      </c>
    </row>
    <row r="122" spans="1:7" ht="23.25" customHeight="1">
      <c r="A122" s="34">
        <v>4019</v>
      </c>
      <c r="B122" s="35"/>
      <c r="C122" s="257" t="str">
        <f>VLOOKUP(A122,Insumos!$A:$D,2,0)</f>
        <v>Geotextil não tecido agulhado de filamentos contínuos 100% poliéster, resistência a tração = 16 kN/m</v>
      </c>
      <c r="D122" s="258" t="str">
        <f>VLOOKUP(A122,Insumos!$A:$D,3,0)</f>
        <v>m²</v>
      </c>
      <c r="E122" s="284">
        <v>1.05</v>
      </c>
      <c r="F122" s="247">
        <f>VLOOKUP(A122,Insumos!$A:$D,4,0)</f>
        <v>7.34</v>
      </c>
      <c r="G122" s="36">
        <f>ROUND(E122*F122,2)</f>
        <v>7.71</v>
      </c>
    </row>
    <row r="123" spans="1:7" ht="12.75" customHeight="1">
      <c r="A123" s="34">
        <v>88262</v>
      </c>
      <c r="B123" s="35"/>
      <c r="C123" s="257" t="str">
        <f>VLOOKUP(A123,Insumos!$A:$D,2,0)</f>
        <v>Carpinteiro de formas com encargos complementares</v>
      </c>
      <c r="D123" s="258" t="str">
        <f>VLOOKUP(A123,Insumos!$A:$D,3,0)</f>
        <v>h</v>
      </c>
      <c r="E123" s="284">
        <f>ROUND(0.1354*0.8,3)</f>
        <v>0.108</v>
      </c>
      <c r="F123" s="247">
        <f>VLOOKUP(A123,Insumos!$A:$D,4,0)</f>
        <v>21.31</v>
      </c>
      <c r="G123" s="36">
        <f>ROUND(E123*F123,2)</f>
        <v>2.3</v>
      </c>
    </row>
    <row r="124" spans="1:7" ht="12.75">
      <c r="A124" s="34">
        <v>88316</v>
      </c>
      <c r="B124" s="35"/>
      <c r="C124" s="257" t="str">
        <f>VLOOKUP(A124,Insumos!$A:$D,2,0)</f>
        <v>Servente com encargos complementares</v>
      </c>
      <c r="D124" s="258" t="str">
        <f>VLOOKUP(A124,Insumos!$A:$D,3,0)</f>
        <v>h</v>
      </c>
      <c r="E124" s="284">
        <v>0.05</v>
      </c>
      <c r="F124" s="247">
        <f>VLOOKUP(A124,Insumos!$A:$D,4,0)</f>
        <v>15.79</v>
      </c>
      <c r="G124" s="36">
        <f>ROUND(E124*F124,2)</f>
        <v>0.79</v>
      </c>
    </row>
    <row r="125" spans="1:7" ht="12.75">
      <c r="A125" s="160"/>
      <c r="B125" s="35"/>
      <c r="C125" s="32"/>
      <c r="D125" s="31"/>
      <c r="E125" s="186"/>
      <c r="F125" s="128"/>
      <c r="G125" s="128"/>
    </row>
    <row r="126" spans="1:7" ht="56.25">
      <c r="A126" s="283" t="str">
        <f>'Orçamento Sintético'!A73</f>
        <v>CCU 04.01.606</v>
      </c>
      <c r="B126" s="43" t="str">
        <f>VLOOKUP($A126,'Orçamento Sintético'!$A:$G,2,0)</f>
        <v>04.01.606</v>
      </c>
      <c r="C126" s="285" t="str">
        <f>VLOOKUP($A126,'Orçamento Sintético'!$A:$G,3,0)</f>
        <v>Impermeabilização de superfície com argamassa polimérica bicomponete, composta por 2 demaõs semi-flexível e 4 demãos flexivel, reforçado com véu de poliéster</v>
      </c>
      <c r="D126" s="283" t="str">
        <f>VLOOKUP($A126,'Orçamento Sintético'!$A:$G,4,0)</f>
        <v>m²</v>
      </c>
      <c r="E126" s="284"/>
      <c r="F126" s="248"/>
      <c r="G126" s="45">
        <f>SUM(G127:G131)</f>
        <v>72.63</v>
      </c>
    </row>
    <row r="127" spans="1:7" ht="12.75">
      <c r="A127" s="34" t="s">
        <v>582</v>
      </c>
      <c r="B127" s="35"/>
      <c r="C127" s="257" t="str">
        <f>VLOOKUP(A127,Insumos!$A:$D,2,0)</f>
        <v>Véu de poliéster</v>
      </c>
      <c r="D127" s="258" t="str">
        <f>VLOOKUP(A127,Insumos!$A:$D,3,0)</f>
        <v>m²</v>
      </c>
      <c r="E127" s="284">
        <v>1.351</v>
      </c>
      <c r="F127" s="247">
        <f>VLOOKUP(A127,Insumos!$A:$D,4,0)</f>
        <v>2.2</v>
      </c>
      <c r="G127" s="36">
        <f>ROUND(E127*F127,2)</f>
        <v>2.97</v>
      </c>
    </row>
    <row r="128" spans="1:7" ht="45">
      <c r="A128" s="34" t="s">
        <v>584</v>
      </c>
      <c r="B128" s="35"/>
      <c r="C128" s="257" t="str">
        <f>VLOOKUP(A128,Insumos!$A:$D,2,0)</f>
        <v>Revestimento impermeabilizante flexível, bicomponente, à base de resinas termoplásticas e cimentos com aditivos e incorporação de fibras sintéticas, Viaplus 7000</v>
      </c>
      <c r="D128" s="258" t="str">
        <f>VLOOKUP(A128,Insumos!$A:$D,3,0)</f>
        <v>kg</v>
      </c>
      <c r="E128" s="284">
        <f>ROUND(1.125*4,4)</f>
        <v>4.5</v>
      </c>
      <c r="F128" s="247">
        <f>VLOOKUP(A128,Insumos!$A:$D,4,0)</f>
        <v>6.89</v>
      </c>
      <c r="G128" s="36">
        <f>ROUND(E128*F128,2)</f>
        <v>31.01</v>
      </c>
    </row>
    <row r="129" spans="1:7" ht="33.75">
      <c r="A129" s="34" t="s">
        <v>586</v>
      </c>
      <c r="B129" s="35"/>
      <c r="C129" s="257" t="str">
        <f>VLOOKUP(A129,Insumos!$A:$D,2,0)</f>
        <v>Revestimento impermeabilizante semi-flexível, bicomponente - à base de cimentos especiais, adtivos minerais e polímeros, Viaplus 1000</v>
      </c>
      <c r="D129" s="258" t="str">
        <f>VLOOKUP(A129,Insumos!$A:$D,3,0)</f>
        <v>kg</v>
      </c>
      <c r="E129" s="284">
        <f>ROUND(1.125*2,4)</f>
        <v>2.25</v>
      </c>
      <c r="F129" s="247">
        <f>VLOOKUP(A129,Insumos!$A:$D,4,0)</f>
        <v>2.34</v>
      </c>
      <c r="G129" s="36">
        <f>ROUND(E129*F129,2)</f>
        <v>5.27</v>
      </c>
    </row>
    <row r="130" spans="1:7" ht="22.5">
      <c r="A130" s="34">
        <v>88243</v>
      </c>
      <c r="B130" s="35"/>
      <c r="C130" s="257" t="str">
        <f>VLOOKUP(A130,Insumos!$A:$D,2,0)</f>
        <v>Ajudante especializado com encargos complementares</v>
      </c>
      <c r="D130" s="258" t="str">
        <f>VLOOKUP(A130,Insumos!$A:$D,3,0)</f>
        <v>h</v>
      </c>
      <c r="E130" s="284">
        <f>ROUND(0.178/4*6,4)</f>
        <v>0.267</v>
      </c>
      <c r="F130" s="247">
        <f>VLOOKUP(A130,Insumos!$A:$D,4,0)</f>
        <v>18.78</v>
      </c>
      <c r="G130" s="36">
        <f>ROUND(E130*F130,2)</f>
        <v>5.01</v>
      </c>
    </row>
    <row r="131" spans="1:7" ht="12.75">
      <c r="A131" s="34">
        <v>88270</v>
      </c>
      <c r="B131" s="35"/>
      <c r="C131" s="257" t="str">
        <f>VLOOKUP(A131,Insumos!$A:$D,2,0)</f>
        <v>Impermeabilizador com encargos complementares</v>
      </c>
      <c r="D131" s="258" t="str">
        <f>VLOOKUP(A131,Insumos!$A:$D,3,0)</f>
        <v>h</v>
      </c>
      <c r="E131" s="284">
        <f>ROUND(0.881/4*6,4)</f>
        <v>1.3215</v>
      </c>
      <c r="F131" s="247">
        <f>VLOOKUP(A131,Insumos!$A:$D,4,0)</f>
        <v>21.47</v>
      </c>
      <c r="G131" s="36">
        <f>ROUND(E131*F131,2)</f>
        <v>28.37</v>
      </c>
    </row>
    <row r="132" spans="1:7" ht="12.75">
      <c r="A132" s="160"/>
      <c r="B132" s="35"/>
      <c r="C132" s="32"/>
      <c r="D132" s="31"/>
      <c r="E132" s="186"/>
      <c r="F132" s="128"/>
      <c r="G132" s="128"/>
    </row>
    <row r="133" spans="1:8" s="290" customFormat="1" ht="12.75">
      <c r="A133" s="181"/>
      <c r="B133" s="162" t="str">
        <f>'Orçamento Sintético'!B75</f>
        <v>05.03.000</v>
      </c>
      <c r="C133" s="291" t="str">
        <f>'Orçamento Sintético'!C75</f>
        <v>DRENAGEM DE ÁGUAS PLUVIAIS</v>
      </c>
      <c r="D133" s="292"/>
      <c r="E133" s="163"/>
      <c r="F133" s="293"/>
      <c r="G133" s="164"/>
      <c r="H133" s="289"/>
    </row>
    <row r="134" spans="1:7" ht="22.5">
      <c r="A134" s="283" t="str">
        <f>'Orçamento Sintético'!A90</f>
        <v>CCU05.03.314</v>
      </c>
      <c r="B134" s="43" t="str">
        <f>VLOOKUP($A134,'Orçamento Sintético'!$A:$G,2,0)</f>
        <v>05.03.314</v>
      </c>
      <c r="C134" s="285" t="str">
        <f>VLOOKUP($A134,'Orçamento Sintético'!$A:$G,3,0)</f>
        <v>Tê de redução, PVC, soldável, DN 60mm x 40mm - fornecimento e instalação</v>
      </c>
      <c r="D134" s="283" t="str">
        <f>VLOOKUP($A134,'Orçamento Sintético'!$A:$G,4,0)</f>
        <v>un</v>
      </c>
      <c r="E134" s="284"/>
      <c r="F134" s="248"/>
      <c r="G134" s="45">
        <f>SUM(G135:G142)</f>
        <v>55.37</v>
      </c>
    </row>
    <row r="135" spans="1:7" ht="22.5">
      <c r="A135" s="34">
        <v>7143</v>
      </c>
      <c r="B135" s="35"/>
      <c r="C135" s="257" t="str">
        <f>VLOOKUP(A135,Insumos!$A:$D,2,0)</f>
        <v>Tê soldável, PVC, 90 graus, 60mm, para água fria predial (NBR 5648)</v>
      </c>
      <c r="D135" s="258" t="str">
        <f>VLOOKUP(A135,Insumos!$A:$D,3,0)</f>
        <v>un</v>
      </c>
      <c r="E135" s="284">
        <v>1</v>
      </c>
      <c r="F135" s="247">
        <f>VLOOKUP(A135,Insumos!$A:$D,4,0)</f>
        <v>19.86</v>
      </c>
      <c r="G135" s="36">
        <f aca="true" t="shared" si="4" ref="G135:G141">ROUND(E135*F135,2)</f>
        <v>19.86</v>
      </c>
    </row>
    <row r="136" spans="1:7" ht="22.5">
      <c r="A136" s="34">
        <v>815</v>
      </c>
      <c r="B136" s="35"/>
      <c r="C136" s="257" t="str">
        <f>VLOOKUP(A136,Insumos!$A:$D,2,0)</f>
        <v>Bucha de redução de PVC, soldável, longa, com 60 x 40mm, para água fria predial</v>
      </c>
      <c r="D136" s="258" t="str">
        <f>VLOOKUP(A136,Insumos!$A:$D,3,0)</f>
        <v>un</v>
      </c>
      <c r="E136" s="284">
        <v>1</v>
      </c>
      <c r="F136" s="247">
        <f>VLOOKUP(A136,Insumos!$A:$D,4,0)</f>
        <v>7.76</v>
      </c>
      <c r="G136" s="36">
        <f t="shared" si="4"/>
        <v>7.76</v>
      </c>
    </row>
    <row r="137" spans="1:7" ht="12.75">
      <c r="A137" s="34">
        <v>20080</v>
      </c>
      <c r="B137" s="35"/>
      <c r="C137" s="257" t="str">
        <f>VLOOKUP(A137,Insumos!$A:$D,2,0)</f>
        <v>Adesivo plástico para PVC, frasco 175gr</v>
      </c>
      <c r="D137" s="258" t="str">
        <f>VLOOKUP(A137,Insumos!$A:$D,3,0)</f>
        <v>un</v>
      </c>
      <c r="E137" s="284">
        <f>ROUND(0.231+(850*0.024/175),3)</f>
        <v>0.348</v>
      </c>
      <c r="F137" s="247">
        <f>VLOOKUP(A137,Insumos!$A:$D,4,0)</f>
        <v>17.72</v>
      </c>
      <c r="G137" s="36">
        <f t="shared" si="4"/>
        <v>6.17</v>
      </c>
    </row>
    <row r="138" spans="1:7" ht="12.75">
      <c r="A138" s="34">
        <v>20083</v>
      </c>
      <c r="B138" s="35"/>
      <c r="C138" s="257" t="str">
        <f>VLOOKUP(A138,Insumos!$A:$D,2,0)</f>
        <v>Solução limpadora para PVC, frasco com 1000cm³</v>
      </c>
      <c r="D138" s="258" t="str">
        <f>VLOOKUP(A138,Insumos!$A:$D,3,0)</f>
        <v>un</v>
      </c>
      <c r="E138" s="284">
        <f>0.062+0.03</f>
        <v>0.092</v>
      </c>
      <c r="F138" s="247">
        <f>VLOOKUP(A138,Insumos!$A:$D,4,0)</f>
        <v>48.48</v>
      </c>
      <c r="G138" s="36">
        <f t="shared" si="4"/>
        <v>4.46</v>
      </c>
    </row>
    <row r="139" spans="1:7" ht="12.75">
      <c r="A139" s="34">
        <v>38383</v>
      </c>
      <c r="B139" s="35"/>
      <c r="C139" s="257" t="str">
        <f>VLOOKUP(A139,Insumos!$A:$D,2,0)</f>
        <v>Lixa d'água em folha, grão 100</v>
      </c>
      <c r="D139" s="258" t="str">
        <f>VLOOKUP(A139,Insumos!$A:$D,3,0)</f>
        <v>un</v>
      </c>
      <c r="E139" s="284">
        <f>0.055+0.028</f>
        <v>0.083</v>
      </c>
      <c r="F139" s="247">
        <f>VLOOKUP(A139,Insumos!$A:$D,4,0)</f>
        <v>1.65</v>
      </c>
      <c r="G139" s="36">
        <f t="shared" si="4"/>
        <v>0.14</v>
      </c>
    </row>
    <row r="140" spans="1:7" ht="22.5">
      <c r="A140" s="34">
        <v>88248</v>
      </c>
      <c r="B140" s="35"/>
      <c r="C140" s="257" t="str">
        <f>VLOOKUP(A140,Insumos!$A:$D,2,0)</f>
        <v>Auxiliar de encanador ou bombeiro hidráulico com encargos complementares</v>
      </c>
      <c r="D140" s="258" t="str">
        <f>VLOOKUP(A140,Insumos!$A:$D,3,0)</f>
        <v>h</v>
      </c>
      <c r="E140" s="284">
        <f>0.368+0.085</f>
        <v>0.453</v>
      </c>
      <c r="F140" s="247">
        <f>VLOOKUP(A140,Insumos!$A:$D,4,0)</f>
        <v>16.42</v>
      </c>
      <c r="G140" s="36">
        <f t="shared" si="4"/>
        <v>7.44</v>
      </c>
    </row>
    <row r="141" spans="1:7" ht="22.5">
      <c r="A141" s="34">
        <v>88267</v>
      </c>
      <c r="B141" s="35"/>
      <c r="C141" s="257" t="str">
        <f>VLOOKUP(A141,Insumos!$A:$D,2,0)</f>
        <v>Encanador ou bombeiro hidráulico com encargos complementares</v>
      </c>
      <c r="D141" s="258" t="str">
        <f>VLOOKUP(A141,Insumos!$A:$D,3,0)</f>
        <v>h</v>
      </c>
      <c r="E141" s="284">
        <f>E140</f>
        <v>0.453</v>
      </c>
      <c r="F141" s="247">
        <f>VLOOKUP(A141,Insumos!$A:$D,4,0)</f>
        <v>21.06</v>
      </c>
      <c r="G141" s="36">
        <f t="shared" si="4"/>
        <v>9.54</v>
      </c>
    </row>
    <row r="142" spans="1:7" ht="12.75">
      <c r="A142" s="34"/>
      <c r="B142" s="35"/>
      <c r="C142" s="257"/>
      <c r="D142" s="258"/>
      <c r="E142" s="284"/>
      <c r="F142" s="247"/>
      <c r="G142" s="36"/>
    </row>
    <row r="143" spans="1:7" ht="22.5">
      <c r="A143" s="283" t="str">
        <f>'Orçamento Sintético'!A91</f>
        <v>CCU05.03.315</v>
      </c>
      <c r="B143" s="43" t="str">
        <f>VLOOKUP($A143,'Orçamento Sintético'!$A:$G,2,0)</f>
        <v>05.03.315</v>
      </c>
      <c r="C143" s="285" t="str">
        <f>VLOOKUP($A143,'Orçamento Sintético'!$A:$G,3,0)</f>
        <v>Tê de redução, PVC, soldável, DN 60mm x 25mm - fornecimento e instalação</v>
      </c>
      <c r="D143" s="283" t="str">
        <f>VLOOKUP($A143,'Orçamento Sintético'!$A:$G,4,0)</f>
        <v>un</v>
      </c>
      <c r="E143" s="284"/>
      <c r="F143" s="248"/>
      <c r="G143" s="45">
        <f>SUM(G144:G151)</f>
        <v>53.55</v>
      </c>
    </row>
    <row r="144" spans="1:7" ht="22.5">
      <c r="A144" s="34">
        <v>7143</v>
      </c>
      <c r="B144" s="35"/>
      <c r="C144" s="257" t="str">
        <f>VLOOKUP(A144,Insumos!$A:$D,2,0)</f>
        <v>Tê soldável, PVC, 90 graus, 60mm, para água fria predial (NBR 5648)</v>
      </c>
      <c r="D144" s="258" t="str">
        <f>VLOOKUP(A144,Insumos!$A:$D,3,0)</f>
        <v>un</v>
      </c>
      <c r="E144" s="284">
        <v>1</v>
      </c>
      <c r="F144" s="247">
        <f>VLOOKUP(A144,Insumos!$A:$D,4,0)</f>
        <v>19.86</v>
      </c>
      <c r="G144" s="36">
        <f aca="true" t="shared" si="5" ref="G144:G150">ROUND(E144*F144,2)</f>
        <v>19.86</v>
      </c>
    </row>
    <row r="145" spans="1:7" ht="22.5">
      <c r="A145" s="34">
        <v>816</v>
      </c>
      <c r="B145" s="35"/>
      <c r="C145" s="257" t="str">
        <f>VLOOKUP(A145,Insumos!$A:$D,2,0)</f>
        <v>Bucha de redução de PVC, soldável, longa, com 60 x 25mm, para água fria predial</v>
      </c>
      <c r="D145" s="258" t="str">
        <f>VLOOKUP(A145,Insumos!$A:$D,3,0)</f>
        <v>un</v>
      </c>
      <c r="E145" s="284">
        <v>1</v>
      </c>
      <c r="F145" s="247">
        <f>VLOOKUP(A145,Insumos!$A:$D,4,0)</f>
        <v>5.94</v>
      </c>
      <c r="G145" s="36">
        <f t="shared" si="5"/>
        <v>5.94</v>
      </c>
    </row>
    <row r="146" spans="1:7" ht="12.75">
      <c r="A146" s="34">
        <v>20080</v>
      </c>
      <c r="B146" s="35"/>
      <c r="C146" s="257" t="str">
        <f>VLOOKUP(A146,Insumos!$A:$D,2,0)</f>
        <v>Adesivo plástico para PVC, frasco 175gr</v>
      </c>
      <c r="D146" s="258" t="str">
        <f>VLOOKUP(A146,Insumos!$A:$D,3,0)</f>
        <v>un</v>
      </c>
      <c r="E146" s="284">
        <f>ROUND(0.231+(850*0.024/175),3)</f>
        <v>0.348</v>
      </c>
      <c r="F146" s="247">
        <f>VLOOKUP(A146,Insumos!$A:$D,4,0)</f>
        <v>17.72</v>
      </c>
      <c r="G146" s="36">
        <f t="shared" si="5"/>
        <v>6.17</v>
      </c>
    </row>
    <row r="147" spans="1:7" ht="12.75">
      <c r="A147" s="34">
        <v>20083</v>
      </c>
      <c r="B147" s="35"/>
      <c r="C147" s="257" t="str">
        <f>VLOOKUP(A147,Insumos!$A:$D,2,0)</f>
        <v>Solução limpadora para PVC, frasco com 1000cm³</v>
      </c>
      <c r="D147" s="258" t="str">
        <f>VLOOKUP(A147,Insumos!$A:$D,3,0)</f>
        <v>un</v>
      </c>
      <c r="E147" s="284">
        <f>0.062+0.03</f>
        <v>0.092</v>
      </c>
      <c r="F147" s="247">
        <f>VLOOKUP(A147,Insumos!$A:$D,4,0)</f>
        <v>48.48</v>
      </c>
      <c r="G147" s="36">
        <f t="shared" si="5"/>
        <v>4.46</v>
      </c>
    </row>
    <row r="148" spans="1:7" ht="12.75">
      <c r="A148" s="34">
        <v>38383</v>
      </c>
      <c r="B148" s="35"/>
      <c r="C148" s="257" t="str">
        <f>VLOOKUP(A148,Insumos!$A:$D,2,0)</f>
        <v>Lixa d'água em folha, grão 100</v>
      </c>
      <c r="D148" s="258" t="str">
        <f>VLOOKUP(A148,Insumos!$A:$D,3,0)</f>
        <v>un</v>
      </c>
      <c r="E148" s="284">
        <f>0.055+0.028</f>
        <v>0.083</v>
      </c>
      <c r="F148" s="247">
        <f>VLOOKUP(A148,Insumos!$A:$D,4,0)</f>
        <v>1.65</v>
      </c>
      <c r="G148" s="36">
        <f t="shared" si="5"/>
        <v>0.14</v>
      </c>
    </row>
    <row r="149" spans="1:7" ht="22.5">
      <c r="A149" s="34">
        <v>88248</v>
      </c>
      <c r="B149" s="35"/>
      <c r="C149" s="257" t="str">
        <f>VLOOKUP(A149,Insumos!$A:$D,2,0)</f>
        <v>Auxiliar de encanador ou bombeiro hidráulico com encargos complementares</v>
      </c>
      <c r="D149" s="258" t="str">
        <f>VLOOKUP(A149,Insumos!$A:$D,3,0)</f>
        <v>h</v>
      </c>
      <c r="E149" s="284">
        <f>0.368+0.085</f>
        <v>0.453</v>
      </c>
      <c r="F149" s="247">
        <f>VLOOKUP(A149,Insumos!$A:$D,4,0)</f>
        <v>16.42</v>
      </c>
      <c r="G149" s="36">
        <f t="shared" si="5"/>
        <v>7.44</v>
      </c>
    </row>
    <row r="150" spans="1:7" ht="22.5">
      <c r="A150" s="34">
        <v>88267</v>
      </c>
      <c r="B150" s="35"/>
      <c r="C150" s="257" t="str">
        <f>VLOOKUP(A150,Insumos!$A:$D,2,0)</f>
        <v>Encanador ou bombeiro hidráulico com encargos complementares</v>
      </c>
      <c r="D150" s="258" t="str">
        <f>VLOOKUP(A150,Insumos!$A:$D,3,0)</f>
        <v>h</v>
      </c>
      <c r="E150" s="284">
        <f>E149</f>
        <v>0.453</v>
      </c>
      <c r="F150" s="247">
        <f>VLOOKUP(A150,Insumos!$A:$D,4,0)</f>
        <v>21.06</v>
      </c>
      <c r="G150" s="36">
        <f t="shared" si="5"/>
        <v>9.54</v>
      </c>
    </row>
    <row r="151" spans="1:7" ht="12.75">
      <c r="A151" s="34"/>
      <c r="B151" s="35"/>
      <c r="C151" s="257"/>
      <c r="D151" s="258"/>
      <c r="E151" s="284"/>
      <c r="F151" s="247"/>
      <c r="G151" s="36"/>
    </row>
    <row r="152" spans="1:7" ht="22.5">
      <c r="A152" s="283" t="str">
        <f>'Orçamento Sintético'!A95</f>
        <v>CCU05.03.319</v>
      </c>
      <c r="B152" s="43" t="str">
        <f>VLOOKUP($A152,'Orçamento Sintético'!$A:$G,2,0)</f>
        <v>05.03.319</v>
      </c>
      <c r="C152" s="285" t="str">
        <f>VLOOKUP($A152,'Orçamento Sintético'!$A:$G,3,0)</f>
        <v>Tê de redução, PVC, soldável, DN 85mm x 50mm - fornecimento e instalação</v>
      </c>
      <c r="D152" s="283" t="str">
        <f>VLOOKUP($A152,'Orçamento Sintético'!$A:$G,4,0)</f>
        <v>un</v>
      </c>
      <c r="E152" s="284"/>
      <c r="F152" s="248"/>
      <c r="G152" s="45">
        <f>SUM(G153:G160)</f>
        <v>98.77</v>
      </c>
    </row>
    <row r="153" spans="1:7" ht="22.5">
      <c r="A153" s="34">
        <v>7133</v>
      </c>
      <c r="B153" s="35"/>
      <c r="C153" s="257" t="str">
        <f>VLOOKUP(A153,Insumos!$A:$D,2,0)</f>
        <v>Tê de redução, PVC, soldável, 90 graus, 85mm x 60mm, para água fria predial</v>
      </c>
      <c r="D153" s="258" t="str">
        <f>VLOOKUP(A153,Insumos!$A:$D,3,0)</f>
        <v>un</v>
      </c>
      <c r="E153" s="284">
        <v>1</v>
      </c>
      <c r="F153" s="247">
        <f>VLOOKUP(A153,Insumos!$A:$D,4,0)</f>
        <v>50.87</v>
      </c>
      <c r="G153" s="36">
        <f aca="true" t="shared" si="6" ref="G153:G159">ROUND(E153*F153,2)</f>
        <v>50.87</v>
      </c>
    </row>
    <row r="154" spans="1:7" ht="22.5">
      <c r="A154" s="34">
        <v>818</v>
      </c>
      <c r="B154" s="35"/>
      <c r="C154" s="257" t="str">
        <f>VLOOKUP(A154,Insumos!$A:$D,2,0)</f>
        <v>Bucha de redução de PVC, soldável, curta, com 60 x 50mm, para água fria predial</v>
      </c>
      <c r="D154" s="258" t="str">
        <f>VLOOKUP(A154,Insumos!$A:$D,3,0)</f>
        <v>un</v>
      </c>
      <c r="E154" s="284">
        <v>1</v>
      </c>
      <c r="F154" s="247">
        <f>VLOOKUP(A154,Insumos!$A:$D,4,0)</f>
        <v>3.57</v>
      </c>
      <c r="G154" s="36">
        <f t="shared" si="6"/>
        <v>3.57</v>
      </c>
    </row>
    <row r="155" spans="1:7" ht="12.75">
      <c r="A155" s="34">
        <v>20080</v>
      </c>
      <c r="B155" s="35"/>
      <c r="C155" s="257" t="str">
        <f>VLOOKUP(A155,Insumos!$A:$D,2,0)</f>
        <v>Adesivo plástico para PVC, frasco 175gr</v>
      </c>
      <c r="D155" s="258" t="str">
        <f>VLOOKUP(A155,Insumos!$A:$D,3,0)</f>
        <v>un</v>
      </c>
      <c r="E155" s="284">
        <f>ROUND(0.433+(850*0.024/175),3)</f>
        <v>0.55</v>
      </c>
      <c r="F155" s="247">
        <f>VLOOKUP(A155,Insumos!$A:$D,4,0)</f>
        <v>17.72</v>
      </c>
      <c r="G155" s="36">
        <f t="shared" si="6"/>
        <v>9.75</v>
      </c>
    </row>
    <row r="156" spans="1:7" ht="12.75">
      <c r="A156" s="34">
        <v>20083</v>
      </c>
      <c r="B156" s="35"/>
      <c r="C156" s="257" t="str">
        <f>VLOOKUP(A156,Insumos!$A:$D,2,0)</f>
        <v>Solução limpadora para PVC, frasco com 1000cm³</v>
      </c>
      <c r="D156" s="258" t="str">
        <f>VLOOKUP(A156,Insumos!$A:$D,3,0)</f>
        <v>un</v>
      </c>
      <c r="E156" s="284">
        <f>0.114+0.03</f>
        <v>0.14400000000000002</v>
      </c>
      <c r="F156" s="247">
        <f>VLOOKUP(A156,Insumos!$A:$D,4,0)</f>
        <v>48.48</v>
      </c>
      <c r="G156" s="36">
        <f t="shared" si="6"/>
        <v>6.98</v>
      </c>
    </row>
    <row r="157" spans="1:7" ht="12.75">
      <c r="A157" s="34">
        <v>38383</v>
      </c>
      <c r="B157" s="35"/>
      <c r="C157" s="257" t="str">
        <f>VLOOKUP(A157,Insumos!$A:$D,2,0)</f>
        <v>Lixa d'água em folha, grão 100</v>
      </c>
      <c r="D157" s="258" t="str">
        <f>VLOOKUP(A157,Insumos!$A:$D,3,0)</f>
        <v>un</v>
      </c>
      <c r="E157" s="284">
        <f>0.097+0.028</f>
        <v>0.125</v>
      </c>
      <c r="F157" s="247">
        <f>VLOOKUP(A157,Insumos!$A:$D,4,0)</f>
        <v>1.65</v>
      </c>
      <c r="G157" s="36">
        <f t="shared" si="6"/>
        <v>0.21</v>
      </c>
    </row>
    <row r="158" spans="1:7" ht="22.5">
      <c r="A158" s="34">
        <v>88248</v>
      </c>
      <c r="B158" s="35"/>
      <c r="C158" s="257" t="str">
        <f>VLOOKUP(A158,Insumos!$A:$D,2,0)</f>
        <v>Auxiliar de encanador ou bombeiro hidráulico com encargos complementares</v>
      </c>
      <c r="D158" s="258" t="str">
        <f>VLOOKUP(A158,Insumos!$A:$D,3,0)</f>
        <v>h</v>
      </c>
      <c r="E158" s="284">
        <f>0.646+0.085</f>
        <v>0.731</v>
      </c>
      <c r="F158" s="247">
        <f>VLOOKUP(A158,Insumos!$A:$D,4,0)</f>
        <v>16.42</v>
      </c>
      <c r="G158" s="36">
        <f t="shared" si="6"/>
        <v>12</v>
      </c>
    </row>
    <row r="159" spans="1:7" ht="22.5">
      <c r="A159" s="34">
        <v>88267</v>
      </c>
      <c r="B159" s="35"/>
      <c r="C159" s="257" t="str">
        <f>VLOOKUP(A159,Insumos!$A:$D,2,0)</f>
        <v>Encanador ou bombeiro hidráulico com encargos complementares</v>
      </c>
      <c r="D159" s="258" t="str">
        <f>VLOOKUP(A159,Insumos!$A:$D,3,0)</f>
        <v>h</v>
      </c>
      <c r="E159" s="284">
        <f>E158</f>
        <v>0.731</v>
      </c>
      <c r="F159" s="247">
        <f>VLOOKUP(A159,Insumos!$A:$D,4,0)</f>
        <v>21.06</v>
      </c>
      <c r="G159" s="36">
        <f t="shared" si="6"/>
        <v>15.39</v>
      </c>
    </row>
    <row r="160" spans="1:7" ht="12.75">
      <c r="A160" s="34"/>
      <c r="B160" s="35"/>
      <c r="C160" s="257"/>
      <c r="D160" s="258"/>
      <c r="E160" s="284"/>
      <c r="F160" s="247"/>
      <c r="G160" s="36"/>
    </row>
    <row r="161" spans="1:7" ht="22.5">
      <c r="A161" s="283" t="str">
        <f>'Orçamento Sintético'!A96</f>
        <v>CCU05.03.320</v>
      </c>
      <c r="B161" s="43" t="str">
        <f>VLOOKUP($A161,'Orçamento Sintético'!$A:$G,2,0)</f>
        <v>05.03.320</v>
      </c>
      <c r="C161" s="285" t="str">
        <f>VLOOKUP($A161,'Orçamento Sintético'!$A:$G,3,0)</f>
        <v>Tê de redução, PVC, soldável, DN 110mm x 85mm - fornecimento e instalação</v>
      </c>
      <c r="D161" s="283" t="str">
        <f>VLOOKUP($A161,'Orçamento Sintético'!$A:$G,4,0)</f>
        <v>un</v>
      </c>
      <c r="E161" s="284"/>
      <c r="F161" s="248"/>
      <c r="G161" s="45">
        <f>SUM(G162:G169)</f>
        <v>260.05</v>
      </c>
    </row>
    <row r="162" spans="1:7" ht="22.5">
      <c r="A162" s="34">
        <v>7146</v>
      </c>
      <c r="B162" s="35"/>
      <c r="C162" s="257" t="str">
        <f>VLOOKUP(A162,Insumos!$A:$D,2,0)</f>
        <v>Tê soldável, PVC, 90 graus, 110mm, para água fria predial (NBR 5648)</v>
      </c>
      <c r="D162" s="258" t="str">
        <f>VLOOKUP(A162,Insumos!$A:$D,3,0)</f>
        <v>un</v>
      </c>
      <c r="E162" s="284">
        <v>1</v>
      </c>
      <c r="F162" s="247">
        <f>VLOOKUP(A162,Insumos!$A:$D,4,0)</f>
        <v>110.52</v>
      </c>
      <c r="G162" s="36">
        <f aca="true" t="shared" si="7" ref="G162:G168">ROUND(E162*F162,2)</f>
        <v>110.52</v>
      </c>
    </row>
    <row r="163" spans="1:7" ht="22.5">
      <c r="A163" s="34">
        <v>831</v>
      </c>
      <c r="B163" s="35"/>
      <c r="C163" s="257" t="str">
        <f>VLOOKUP(A163,Insumos!$A:$D,2,0)</f>
        <v>Bucha de redução de PVC, soldável, curta, com 110 x 85mm, para água fria predial</v>
      </c>
      <c r="D163" s="258" t="str">
        <f>VLOOKUP(A163,Insumos!$A:$D,3,0)</f>
        <v>un</v>
      </c>
      <c r="E163" s="284">
        <v>2</v>
      </c>
      <c r="F163" s="247">
        <f>VLOOKUP(A163,Insumos!$A:$D,4,0)</f>
        <v>49.23</v>
      </c>
      <c r="G163" s="36">
        <f t="shared" si="7"/>
        <v>98.46</v>
      </c>
    </row>
    <row r="164" spans="1:7" ht="12.75">
      <c r="A164" s="34">
        <v>20080</v>
      </c>
      <c r="B164" s="35"/>
      <c r="C164" s="257" t="str">
        <f>VLOOKUP(A164,Insumos!$A:$D,2,0)</f>
        <v>Adesivo plástico para PVC, frasco 175gr</v>
      </c>
      <c r="D164" s="258" t="str">
        <f>VLOOKUP(A164,Insumos!$A:$D,3,0)</f>
        <v>un</v>
      </c>
      <c r="E164" s="284">
        <f>ROUND(0.433+(850*0.024/175*2),3)</f>
        <v>0.666</v>
      </c>
      <c r="F164" s="247">
        <f>VLOOKUP(A164,Insumos!$A:$D,4,0)</f>
        <v>17.72</v>
      </c>
      <c r="G164" s="36">
        <f t="shared" si="7"/>
        <v>11.8</v>
      </c>
    </row>
    <row r="165" spans="1:7" ht="12.75">
      <c r="A165" s="34">
        <v>20083</v>
      </c>
      <c r="B165" s="35"/>
      <c r="C165" s="257" t="str">
        <f>VLOOKUP(A165,Insumos!$A:$D,2,0)</f>
        <v>Solução limpadora para PVC, frasco com 1000cm³</v>
      </c>
      <c r="D165" s="258" t="str">
        <f>VLOOKUP(A165,Insumos!$A:$D,3,0)</f>
        <v>un</v>
      </c>
      <c r="E165" s="284">
        <f>0.114+0.03*2</f>
        <v>0.174</v>
      </c>
      <c r="F165" s="247">
        <f>VLOOKUP(A165,Insumos!$A:$D,4,0)</f>
        <v>48.48</v>
      </c>
      <c r="G165" s="36">
        <f t="shared" si="7"/>
        <v>8.44</v>
      </c>
    </row>
    <row r="166" spans="1:7" ht="12.75">
      <c r="A166" s="34">
        <v>38383</v>
      </c>
      <c r="B166" s="35"/>
      <c r="C166" s="257" t="str">
        <f>VLOOKUP(A166,Insumos!$A:$D,2,0)</f>
        <v>Lixa d'água em folha, grão 100</v>
      </c>
      <c r="D166" s="258" t="str">
        <f>VLOOKUP(A166,Insumos!$A:$D,3,0)</f>
        <v>un</v>
      </c>
      <c r="E166" s="284">
        <f>0.097+0.028*2</f>
        <v>0.153</v>
      </c>
      <c r="F166" s="247">
        <f>VLOOKUP(A166,Insumos!$A:$D,4,0)</f>
        <v>1.65</v>
      </c>
      <c r="G166" s="36">
        <f t="shared" si="7"/>
        <v>0.25</v>
      </c>
    </row>
    <row r="167" spans="1:7" ht="22.5">
      <c r="A167" s="34">
        <v>88248</v>
      </c>
      <c r="B167" s="35"/>
      <c r="C167" s="257" t="str">
        <f>VLOOKUP(A167,Insumos!$A:$D,2,0)</f>
        <v>Auxiliar de encanador ou bombeiro hidráulico com encargos complementares</v>
      </c>
      <c r="D167" s="258" t="str">
        <f>VLOOKUP(A167,Insumos!$A:$D,3,0)</f>
        <v>h</v>
      </c>
      <c r="E167" s="284">
        <f>0.646+0.085*2</f>
        <v>0.8160000000000001</v>
      </c>
      <c r="F167" s="247">
        <f>VLOOKUP(A167,Insumos!$A:$D,4,0)</f>
        <v>16.42</v>
      </c>
      <c r="G167" s="36">
        <f t="shared" si="7"/>
        <v>13.4</v>
      </c>
    </row>
    <row r="168" spans="1:7" ht="22.5">
      <c r="A168" s="34">
        <v>88267</v>
      </c>
      <c r="B168" s="35"/>
      <c r="C168" s="257" t="str">
        <f>VLOOKUP(A168,Insumos!$A:$D,2,0)</f>
        <v>Encanador ou bombeiro hidráulico com encargos complementares</v>
      </c>
      <c r="D168" s="258" t="str">
        <f>VLOOKUP(A168,Insumos!$A:$D,3,0)</f>
        <v>h</v>
      </c>
      <c r="E168" s="284">
        <f>E167</f>
        <v>0.8160000000000001</v>
      </c>
      <c r="F168" s="247">
        <f>VLOOKUP(A168,Insumos!$A:$D,4,0)</f>
        <v>21.06</v>
      </c>
      <c r="G168" s="36">
        <f t="shared" si="7"/>
        <v>17.18</v>
      </c>
    </row>
    <row r="169" spans="1:7" ht="12.75">
      <c r="A169" s="34"/>
      <c r="B169" s="35"/>
      <c r="C169" s="257"/>
      <c r="D169" s="258"/>
      <c r="E169" s="284"/>
      <c r="F169" s="247"/>
      <c r="G169" s="36"/>
    </row>
    <row r="170" spans="1:7" ht="22.5">
      <c r="A170" s="283" t="str">
        <f>'Orçamento Sintético'!A99</f>
        <v>CCU05.03.323</v>
      </c>
      <c r="B170" s="43" t="str">
        <f>VLOOKUP($A170,'Orçamento Sintético'!$A:$G,2,0)</f>
        <v>05.03.323</v>
      </c>
      <c r="C170" s="285" t="str">
        <f>VLOOKUP($A170,'Orçamento Sintético'!$A:$G,3,0)</f>
        <v>Cap, PVC, DN 150mm (tampão) - fornecimento e instalação</v>
      </c>
      <c r="D170" s="283" t="str">
        <f>VLOOKUP($A170,'Orçamento Sintético'!$A:$G,4,0)</f>
        <v>un</v>
      </c>
      <c r="E170" s="284"/>
      <c r="F170" s="248"/>
      <c r="G170" s="45">
        <f>SUM(G171:G176)</f>
        <v>50.66</v>
      </c>
    </row>
    <row r="171" spans="1:7" ht="12.75">
      <c r="A171" s="34">
        <v>20089</v>
      </c>
      <c r="B171" s="35"/>
      <c r="C171" s="257" t="str">
        <f>VLOOKUP(A171,Insumos!$A:$D,2,0)</f>
        <v>Cap PVC, série R, DN 150mm, para esgoto predial</v>
      </c>
      <c r="D171" s="258" t="str">
        <f>VLOOKUP(A171,Insumos!$A:$D,3,0)</f>
        <v>un</v>
      </c>
      <c r="E171" s="284">
        <v>1</v>
      </c>
      <c r="F171" s="247">
        <f>VLOOKUP(A171,Insumos!$A:$D,4,0)</f>
        <v>44.08</v>
      </c>
      <c r="G171" s="36">
        <f>ROUND(E171*F171,2)</f>
        <v>44.08</v>
      </c>
    </row>
    <row r="172" spans="1:7" ht="12.75">
      <c r="A172" s="34">
        <v>20080</v>
      </c>
      <c r="B172" s="35"/>
      <c r="C172" s="257" t="str">
        <f>VLOOKUP(A172,Insumos!$A:$D,2,0)</f>
        <v>Adesivo plástico para PVC, frasco 175gr</v>
      </c>
      <c r="D172" s="258" t="str">
        <f>VLOOKUP(A172,Insumos!$A:$D,3,0)</f>
        <v>un</v>
      </c>
      <c r="E172" s="284">
        <f>ROUND((850*0.02/175),3)</f>
        <v>0.097</v>
      </c>
      <c r="F172" s="247">
        <f>VLOOKUP(A172,Insumos!$A:$D,4,0)</f>
        <v>17.72</v>
      </c>
      <c r="G172" s="36">
        <f>ROUND(E172*F172,2)</f>
        <v>1.72</v>
      </c>
    </row>
    <row r="173" spans="1:7" ht="12.75">
      <c r="A173" s="34">
        <v>20083</v>
      </c>
      <c r="B173" s="35"/>
      <c r="C173" s="257" t="str">
        <f>VLOOKUP(A173,Insumos!$A:$D,2,0)</f>
        <v>Solução limpadora para PVC, frasco com 1000cm³</v>
      </c>
      <c r="D173" s="258" t="str">
        <f>VLOOKUP(A173,Insumos!$A:$D,3,0)</f>
        <v>un</v>
      </c>
      <c r="E173" s="284">
        <v>0.015</v>
      </c>
      <c r="F173" s="247">
        <f>VLOOKUP(A173,Insumos!$A:$D,4,0)</f>
        <v>48.48</v>
      </c>
      <c r="G173" s="36">
        <f>ROUND(E173*F173,2)</f>
        <v>0.73</v>
      </c>
    </row>
    <row r="174" spans="1:7" ht="22.5">
      <c r="A174" s="34">
        <v>88248</v>
      </c>
      <c r="B174" s="35"/>
      <c r="C174" s="257" t="str">
        <f>VLOOKUP(A174,Insumos!$A:$D,2,0)</f>
        <v>Auxiliar de encanador ou bombeiro hidráulico com encargos complementares</v>
      </c>
      <c r="D174" s="258" t="str">
        <f>VLOOKUP(A174,Insumos!$A:$D,3,0)</f>
        <v>h</v>
      </c>
      <c r="E174" s="284">
        <v>0.11</v>
      </c>
      <c r="F174" s="247">
        <f>VLOOKUP(A174,Insumos!$A:$D,4,0)</f>
        <v>16.42</v>
      </c>
      <c r="G174" s="36">
        <f>ROUND(E174*F174,2)</f>
        <v>1.81</v>
      </c>
    </row>
    <row r="175" spans="1:7" ht="22.5">
      <c r="A175" s="34">
        <v>88267</v>
      </c>
      <c r="B175" s="35"/>
      <c r="C175" s="257" t="str">
        <f>VLOOKUP(A175,Insumos!$A:$D,2,0)</f>
        <v>Encanador ou bombeiro hidráulico com encargos complementares</v>
      </c>
      <c r="D175" s="258" t="str">
        <f>VLOOKUP(A175,Insumos!$A:$D,3,0)</f>
        <v>h</v>
      </c>
      <c r="E175" s="284">
        <f>E174</f>
        <v>0.11</v>
      </c>
      <c r="F175" s="247">
        <f>VLOOKUP(A175,Insumos!$A:$D,4,0)</f>
        <v>21.06</v>
      </c>
      <c r="G175" s="36">
        <f>ROUND(E175*F175,2)</f>
        <v>2.32</v>
      </c>
    </row>
    <row r="176" spans="1:7" ht="12.75">
      <c r="A176" s="34"/>
      <c r="B176" s="35"/>
      <c r="C176" s="257"/>
      <c r="D176" s="258"/>
      <c r="E176" s="284"/>
      <c r="F176" s="247"/>
      <c r="G176" s="36"/>
    </row>
    <row r="177" spans="1:7" ht="22.5">
      <c r="A177" s="283" t="str">
        <f>'Orçamento Sintético'!A116</f>
        <v>CCU05.03.809</v>
      </c>
      <c r="B177" s="43" t="str">
        <f>VLOOKUP($A177,'Orçamento Sintético'!$A:$G,2,0)</f>
        <v>05.03.809</v>
      </c>
      <c r="C177" s="285" t="str">
        <f>VLOOKUP($A177,'Orçamento Sintético'!$A:$G,3,0)</f>
        <v>Sifão ladrão Ø150mm, ref. Eco Extravasor, fab. Ecoracional</v>
      </c>
      <c r="D177" s="283" t="str">
        <f>VLOOKUP($A177,'Orçamento Sintético'!$A:$G,4,0)</f>
        <v>un</v>
      </c>
      <c r="E177" s="284"/>
      <c r="F177" s="248"/>
      <c r="G177" s="45">
        <f>SUM(G178:G181)</f>
        <v>641.23</v>
      </c>
    </row>
    <row r="178" spans="1:7" ht="22.5">
      <c r="A178" s="34" t="s">
        <v>511</v>
      </c>
      <c r="B178" s="35"/>
      <c r="C178" s="257" t="str">
        <f>VLOOKUP(A178,Insumos!$A:$D,2,0)</f>
        <v>Sifão ladrão Ø150mm, ref. Eco Extravasor, fab. Ecoracional</v>
      </c>
      <c r="D178" s="258" t="str">
        <f>VLOOKUP(A178,Insumos!$A:$D,3,0)</f>
        <v>un</v>
      </c>
      <c r="E178" s="284">
        <v>1</v>
      </c>
      <c r="F178" s="247">
        <f>VLOOKUP(A178,Insumos!$A:$D,4,0)</f>
        <v>598.5</v>
      </c>
      <c r="G178" s="36">
        <f>ROUND(E178*F178,2)</f>
        <v>598.5</v>
      </c>
    </row>
    <row r="179" spans="1:7" ht="22.5">
      <c r="A179" s="34">
        <v>88248</v>
      </c>
      <c r="B179" s="35"/>
      <c r="C179" s="257" t="str">
        <f>VLOOKUP(A179,Insumos!$A:$D,2,0)</f>
        <v>Auxiliar de encanador ou bombeiro hidráulico com encargos complementares</v>
      </c>
      <c r="D179" s="258" t="str">
        <f>VLOOKUP(A179,Insumos!$A:$D,3,0)</f>
        <v>h</v>
      </c>
      <c r="E179" s="284">
        <v>1.14</v>
      </c>
      <c r="F179" s="247">
        <f>VLOOKUP(A179,Insumos!$A:$D,4,0)</f>
        <v>16.42</v>
      </c>
      <c r="G179" s="36">
        <f>ROUND(E179*F179,2)</f>
        <v>18.72</v>
      </c>
    </row>
    <row r="180" spans="1:7" ht="22.5">
      <c r="A180" s="34">
        <v>88267</v>
      </c>
      <c r="B180" s="35"/>
      <c r="C180" s="257" t="str">
        <f>VLOOKUP(A180,Insumos!$A:$D,2,0)</f>
        <v>Encanador ou bombeiro hidráulico com encargos complementares</v>
      </c>
      <c r="D180" s="258" t="str">
        <f>VLOOKUP(A180,Insumos!$A:$D,3,0)</f>
        <v>h</v>
      </c>
      <c r="E180" s="284">
        <v>1.14</v>
      </c>
      <c r="F180" s="247">
        <f>VLOOKUP(A180,Insumos!$A:$D,4,0)</f>
        <v>21.06</v>
      </c>
      <c r="G180" s="36">
        <f>ROUND(E180*F180,2)</f>
        <v>24.01</v>
      </c>
    </row>
    <row r="181" spans="1:7" ht="12.75">
      <c r="A181" s="34"/>
      <c r="B181" s="35"/>
      <c r="C181" s="257"/>
      <c r="D181" s="258"/>
      <c r="E181" s="284"/>
      <c r="F181" s="247"/>
      <c r="G181" s="36"/>
    </row>
    <row r="182" spans="1:7" ht="22.5">
      <c r="A182" s="283" t="str">
        <f>'Orçamento Sintético'!A117</f>
        <v>CCU05.03.810</v>
      </c>
      <c r="B182" s="43" t="str">
        <f>VLOOKUP($A182,'Orçamento Sintético'!$A:$G,2,0)</f>
        <v>05.03.810</v>
      </c>
      <c r="C182" s="285" t="str">
        <f>VLOOKUP($A182,'Orçamento Sintético'!$A:$G,3,0)</f>
        <v>Sifão ladrão Ø200mm, ref. Eco Extravasor, fab. Ecoracional</v>
      </c>
      <c r="D182" s="283" t="str">
        <f>VLOOKUP($A182,'Orçamento Sintético'!$A:$G,4,0)</f>
        <v>un</v>
      </c>
      <c r="E182" s="284"/>
      <c r="F182" s="248"/>
      <c r="G182" s="45">
        <f>SUM(G183:G186)</f>
        <v>933.73</v>
      </c>
    </row>
    <row r="183" spans="1:7" ht="22.5">
      <c r="A183" s="34" t="s">
        <v>635</v>
      </c>
      <c r="B183" s="35"/>
      <c r="C183" s="257" t="str">
        <f>VLOOKUP(A183,Insumos!$A:$D,2,0)</f>
        <v>Sifão ladrão Ø200mm, ref. Eco Extravasor, fab. Ecoracional</v>
      </c>
      <c r="D183" s="258" t="str">
        <f>VLOOKUP(A183,Insumos!$A:$D,3,0)</f>
        <v>un</v>
      </c>
      <c r="E183" s="284">
        <v>1</v>
      </c>
      <c r="F183" s="247">
        <f>VLOOKUP(A183,Insumos!$A:$D,4,0)</f>
        <v>891</v>
      </c>
      <c r="G183" s="36">
        <f>ROUND(E183*F183,2)</f>
        <v>891</v>
      </c>
    </row>
    <row r="184" spans="1:7" ht="22.5">
      <c r="A184" s="34">
        <v>88248</v>
      </c>
      <c r="B184" s="35"/>
      <c r="C184" s="257" t="str">
        <f>VLOOKUP(A184,Insumos!$A:$D,2,0)</f>
        <v>Auxiliar de encanador ou bombeiro hidráulico com encargos complementares</v>
      </c>
      <c r="D184" s="258" t="str">
        <f>VLOOKUP(A184,Insumos!$A:$D,3,0)</f>
        <v>h</v>
      </c>
      <c r="E184" s="284">
        <v>1.14</v>
      </c>
      <c r="F184" s="247">
        <f>VLOOKUP(A184,Insumos!$A:$D,4,0)</f>
        <v>16.42</v>
      </c>
      <c r="G184" s="36">
        <f>ROUND(E184*F184,2)</f>
        <v>18.72</v>
      </c>
    </row>
    <row r="185" spans="1:7" ht="22.5">
      <c r="A185" s="34">
        <v>88267</v>
      </c>
      <c r="B185" s="35"/>
      <c r="C185" s="257" t="str">
        <f>VLOOKUP(A185,Insumos!$A:$D,2,0)</f>
        <v>Encanador ou bombeiro hidráulico com encargos complementares</v>
      </c>
      <c r="D185" s="258" t="str">
        <f>VLOOKUP(A185,Insumos!$A:$D,3,0)</f>
        <v>h</v>
      </c>
      <c r="E185" s="284">
        <v>1.14</v>
      </c>
      <c r="F185" s="247">
        <f>VLOOKUP(A185,Insumos!$A:$D,4,0)</f>
        <v>21.06</v>
      </c>
      <c r="G185" s="36">
        <f>ROUND(E185*F185,2)</f>
        <v>24.01</v>
      </c>
    </row>
    <row r="186" spans="1:7" ht="12.75">
      <c r="A186" s="34"/>
      <c r="B186" s="35"/>
      <c r="C186" s="257"/>
      <c r="D186" s="258"/>
      <c r="E186" s="284"/>
      <c r="F186" s="247"/>
      <c r="G186" s="36"/>
    </row>
    <row r="187" spans="1:7" ht="22.5">
      <c r="A187" s="283" t="str">
        <f>'Orçamento Sintético'!A118</f>
        <v>CCU05.03.811</v>
      </c>
      <c r="B187" s="43" t="str">
        <f>VLOOKUP($A187,'Orçamento Sintético'!$A:$G,2,0)</f>
        <v>05.03.811</v>
      </c>
      <c r="C187" s="285" t="str">
        <f>VLOOKUP($A187,'Orçamento Sintético'!$A:$G,3,0)</f>
        <v>Freio de água Ø 150mm, ref. Ecofreio, fab. Ecoracional</v>
      </c>
      <c r="D187" s="283" t="str">
        <f>VLOOKUP($A187,'Orçamento Sintético'!$A:$G,4,0)</f>
        <v>un</v>
      </c>
      <c r="E187" s="284"/>
      <c r="F187" s="248"/>
      <c r="G187" s="45">
        <f>SUM(G188:G191)</f>
        <v>223.67</v>
      </c>
    </row>
    <row r="188" spans="1:7" ht="16.5" customHeight="1">
      <c r="A188" s="34" t="s">
        <v>510</v>
      </c>
      <c r="B188" s="35"/>
      <c r="C188" s="257" t="str">
        <f>VLOOKUP(A188,Insumos!$A:$D,2,0)</f>
        <v>Freio d'água Ø150mm, ref. Ecofreio, fab. Ecoracional</v>
      </c>
      <c r="D188" s="258" t="str">
        <f>VLOOKUP(A188,Insumos!$A:$D,3,0)</f>
        <v>un</v>
      </c>
      <c r="E188" s="284">
        <v>1</v>
      </c>
      <c r="F188" s="247">
        <f>VLOOKUP(A188,Insumos!$A:$D,4,0)</f>
        <v>180.94</v>
      </c>
      <c r="G188" s="36">
        <f>ROUND(E188*F188,2)</f>
        <v>180.94</v>
      </c>
    </row>
    <row r="189" spans="1:7" ht="22.5">
      <c r="A189" s="34">
        <v>88248</v>
      </c>
      <c r="B189" s="35"/>
      <c r="C189" s="257" t="str">
        <f>VLOOKUP(A189,Insumos!$A:$D,2,0)</f>
        <v>Auxiliar de encanador ou bombeiro hidráulico com encargos complementares</v>
      </c>
      <c r="D189" s="258" t="str">
        <f>VLOOKUP(A189,Insumos!$A:$D,3,0)</f>
        <v>h</v>
      </c>
      <c r="E189" s="284">
        <v>1.14</v>
      </c>
      <c r="F189" s="247">
        <f>VLOOKUP(A189,Insumos!$A:$D,4,0)</f>
        <v>16.42</v>
      </c>
      <c r="G189" s="36">
        <f>ROUND(E189*F189,2)</f>
        <v>18.72</v>
      </c>
    </row>
    <row r="190" spans="1:7" ht="22.5">
      <c r="A190" s="34">
        <v>88267</v>
      </c>
      <c r="B190" s="35"/>
      <c r="C190" s="257" t="str">
        <f>VLOOKUP(A190,Insumos!$A:$D,2,0)</f>
        <v>Encanador ou bombeiro hidráulico com encargos complementares</v>
      </c>
      <c r="D190" s="258" t="str">
        <f>VLOOKUP(A190,Insumos!$A:$D,3,0)</f>
        <v>h</v>
      </c>
      <c r="E190" s="284">
        <v>1.14</v>
      </c>
      <c r="F190" s="247">
        <f>VLOOKUP(A190,Insumos!$A:$D,4,0)</f>
        <v>21.06</v>
      </c>
      <c r="G190" s="36">
        <f>ROUND(E190*F190,2)</f>
        <v>24.01</v>
      </c>
    </row>
    <row r="191" spans="1:7" ht="12.75">
      <c r="A191" s="34"/>
      <c r="B191" s="35"/>
      <c r="C191" s="257"/>
      <c r="D191" s="258"/>
      <c r="E191" s="284"/>
      <c r="F191" s="247"/>
      <c r="G191" s="36"/>
    </row>
    <row r="192" spans="1:7" ht="22.5">
      <c r="A192" s="283" t="str">
        <f>'Orçamento Sintético'!A119</f>
        <v>CCU05.03.812</v>
      </c>
      <c r="B192" s="43" t="str">
        <f>VLOOKUP($A192,'Orçamento Sintético'!$A:$G,2,0)</f>
        <v>05.03.812</v>
      </c>
      <c r="C192" s="285" t="str">
        <f>VLOOKUP($A192,'Orçamento Sintético'!$A:$G,3,0)</f>
        <v>Bomba centrífuga trifásica 220/380V, 1cv, ref. CAM W16, fab. Dancor</v>
      </c>
      <c r="D192" s="283" t="str">
        <f>VLOOKUP($A192,'Orçamento Sintético'!$A:$G,4,0)</f>
        <v>un</v>
      </c>
      <c r="E192" s="284"/>
      <c r="F192" s="248"/>
      <c r="G192" s="45">
        <f>SUM(G193:G195)</f>
        <v>1467.15</v>
      </c>
    </row>
    <row r="193" spans="1:7" ht="22.5">
      <c r="A193" s="34" t="s">
        <v>637</v>
      </c>
      <c r="B193" s="35"/>
      <c r="C193" s="257" t="str">
        <f>VLOOKUP(A193,Insumos!$A:$D,2,0)</f>
        <v>Conjunto moto-bomba trifásico 220/380V, 1cv, ref. CAM W16 Dancor</v>
      </c>
      <c r="D193" s="258" t="str">
        <f>VLOOKUP(A193,Insumos!$A:$D,3,0)</f>
        <v>un</v>
      </c>
      <c r="E193" s="284">
        <v>1</v>
      </c>
      <c r="F193" s="247">
        <f>VLOOKUP(A193,Insumos!$A:$D,4,0)</f>
        <v>1034.25</v>
      </c>
      <c r="G193" s="36">
        <f>ROUND(E193*F193,2)</f>
        <v>1034.25</v>
      </c>
    </row>
    <row r="194" spans="1:7" ht="12.75">
      <c r="A194" s="34" t="s">
        <v>453</v>
      </c>
      <c r="B194" s="35"/>
      <c r="C194" s="257" t="str">
        <f>VLOOKUP(A194,Insumos!$A:$D,2,0)</f>
        <v>Instalação de conj. Moto bomba horizontal até 10cv</v>
      </c>
      <c r="D194" s="258" t="str">
        <f>VLOOKUP(A194,Insumos!$A:$D,3,0)</f>
        <v>un</v>
      </c>
      <c r="E194" s="284">
        <v>1</v>
      </c>
      <c r="F194" s="247">
        <f>VLOOKUP(A194,Insumos!$A:$D,4,0)</f>
        <v>432.9</v>
      </c>
      <c r="G194" s="36">
        <f>ROUND(E194*F194,2)</f>
        <v>432.9</v>
      </c>
    </row>
    <row r="195" spans="1:7" ht="12.75">
      <c r="A195" s="34"/>
      <c r="B195" s="35"/>
      <c r="C195" s="257"/>
      <c r="D195" s="258"/>
      <c r="E195" s="284"/>
      <c r="F195" s="247"/>
      <c r="G195" s="36"/>
    </row>
    <row r="196" spans="1:7" ht="22.5">
      <c r="A196" s="283" t="str">
        <f>'Orçamento Sintético'!A120</f>
        <v>CCU05.03.813</v>
      </c>
      <c r="B196" s="43" t="str">
        <f>VLOOKUP($A196,'Orçamento Sintético'!$A:$G,2,0)</f>
        <v>05.03.813</v>
      </c>
      <c r="C196" s="285" t="str">
        <f>VLOOKUP($A196,'Orçamento Sintético'!$A:$G,3,0)</f>
        <v>Bomba centrífuga trifásica 220/380V, 3cv, ref. CAM W16, fab. Dancor</v>
      </c>
      <c r="D196" s="283" t="str">
        <f>VLOOKUP($A196,'Orçamento Sintético'!$A:$G,4,0)</f>
        <v>un</v>
      </c>
      <c r="E196" s="284"/>
      <c r="F196" s="248"/>
      <c r="G196" s="45">
        <f>SUM(G197:G199)</f>
        <v>1829.4</v>
      </c>
    </row>
    <row r="197" spans="1:7" ht="22.5">
      <c r="A197" s="34" t="s">
        <v>529</v>
      </c>
      <c r="B197" s="35"/>
      <c r="C197" s="257" t="str">
        <f>VLOOKUP(A197,Insumos!$A:$D,2,0)</f>
        <v>Conjunto moto-bomba trifásico 220/380V, 3cv, ref. CAM W16, fab. Dancor</v>
      </c>
      <c r="D197" s="258" t="str">
        <f>VLOOKUP(A197,Insumos!$A:$D,3,0)</f>
        <v>un</v>
      </c>
      <c r="E197" s="284">
        <v>1</v>
      </c>
      <c r="F197" s="247">
        <f>VLOOKUP(A197,Insumos!$A:$D,4,0)</f>
        <v>1396.5</v>
      </c>
      <c r="G197" s="36">
        <f>ROUND(E197*F197,2)</f>
        <v>1396.5</v>
      </c>
    </row>
    <row r="198" spans="1:7" ht="12.75">
      <c r="A198" s="34" t="s">
        <v>453</v>
      </c>
      <c r="B198" s="35"/>
      <c r="C198" s="257" t="str">
        <f>VLOOKUP(A198,Insumos!$A:$D,2,0)</f>
        <v>Instalação de conj. Moto bomba horizontal até 10cv</v>
      </c>
      <c r="D198" s="258" t="str">
        <f>VLOOKUP(A198,Insumos!$A:$D,3,0)</f>
        <v>un</v>
      </c>
      <c r="E198" s="284">
        <v>1</v>
      </c>
      <c r="F198" s="247">
        <f>VLOOKUP(A198,Insumos!$A:$D,4,0)</f>
        <v>432.9</v>
      </c>
      <c r="G198" s="36">
        <f>ROUND(E198*F198,2)</f>
        <v>432.9</v>
      </c>
    </row>
    <row r="199" spans="1:7" ht="12.75">
      <c r="A199" s="34"/>
      <c r="B199" s="35"/>
      <c r="C199" s="257"/>
      <c r="D199" s="258"/>
      <c r="E199" s="284"/>
      <c r="F199" s="247"/>
      <c r="G199" s="36"/>
    </row>
    <row r="200" spans="1:7" ht="22.5">
      <c r="A200" s="283" t="str">
        <f>'Orçamento Sintético'!A121</f>
        <v>CCU05.03.814</v>
      </c>
      <c r="B200" s="43" t="str">
        <f>VLOOKUP($A200,'Orçamento Sintético'!$A:$G,2,0)</f>
        <v>05.03.814</v>
      </c>
      <c r="C200" s="285" t="str">
        <f>VLOOKUP($A200,'Orçamento Sintético'!$A:$G,3,0)</f>
        <v>Conjunto flutuador com bóia 2", ref. Eco Sucção 2", fab. Ecoracional</v>
      </c>
      <c r="D200" s="283" t="str">
        <f>VLOOKUP($A200,'Orçamento Sintético'!$A:$G,4,0)</f>
        <v>un</v>
      </c>
      <c r="E200" s="284"/>
      <c r="F200" s="248"/>
      <c r="G200" s="45">
        <f>SUM(G201:G204)</f>
        <v>570.76</v>
      </c>
    </row>
    <row r="201" spans="1:7" ht="33.75">
      <c r="A201" s="34" t="s">
        <v>514</v>
      </c>
      <c r="B201" s="35"/>
      <c r="C201" s="257" t="str">
        <f>VLOOKUP(A201,Insumos!$A:$D,2,0)</f>
        <v>Conjunto flutuador com bóia, mangueira de sucção (2,5m) com válvula de retenção, bóia e conexão 2", ref. Eco Sucção 2", fab. Ecoracional</v>
      </c>
      <c r="D201" s="258" t="str">
        <f>VLOOKUP(A201,Insumos!$A:$D,3,0)</f>
        <v>un</v>
      </c>
      <c r="E201" s="284">
        <v>1</v>
      </c>
      <c r="F201" s="247">
        <f>VLOOKUP(A201,Insumos!$A:$D,4,0)</f>
        <v>550.52</v>
      </c>
      <c r="G201" s="36">
        <f>ROUND(E201*F201,2)</f>
        <v>550.52</v>
      </c>
    </row>
    <row r="202" spans="1:7" ht="22.5">
      <c r="A202" s="34">
        <v>88248</v>
      </c>
      <c r="B202" s="35"/>
      <c r="C202" s="257" t="str">
        <f>VLOOKUP(A202,Insumos!$A:$D,2,0)</f>
        <v>Auxiliar de encanador ou bombeiro hidráulico com encargos complementares</v>
      </c>
      <c r="D202" s="258" t="str">
        <f>VLOOKUP(A202,Insumos!$A:$D,3,0)</f>
        <v>h</v>
      </c>
      <c r="E202" s="284">
        <v>0.54</v>
      </c>
      <c r="F202" s="247">
        <f>VLOOKUP(A202,Insumos!$A:$D,4,0)</f>
        <v>16.42</v>
      </c>
      <c r="G202" s="36">
        <f>ROUND(E202*F202,2)</f>
        <v>8.87</v>
      </c>
    </row>
    <row r="203" spans="1:7" ht="22.5">
      <c r="A203" s="34">
        <v>88267</v>
      </c>
      <c r="B203" s="35"/>
      <c r="C203" s="257" t="str">
        <f>VLOOKUP(A203,Insumos!$A:$D,2,0)</f>
        <v>Encanador ou bombeiro hidráulico com encargos complementares</v>
      </c>
      <c r="D203" s="258" t="str">
        <f>VLOOKUP(A203,Insumos!$A:$D,3,0)</f>
        <v>h</v>
      </c>
      <c r="E203" s="284">
        <v>0.54</v>
      </c>
      <c r="F203" s="247">
        <f>VLOOKUP(A203,Insumos!$A:$D,4,0)</f>
        <v>21.06</v>
      </c>
      <c r="G203" s="36">
        <f>ROUND(E203*F203,2)</f>
        <v>11.37</v>
      </c>
    </row>
    <row r="204" spans="1:7" ht="12.75">
      <c r="A204" s="34"/>
      <c r="B204" s="35"/>
      <c r="C204" s="257"/>
      <c r="D204" s="258"/>
      <c r="E204" s="284"/>
      <c r="F204" s="247"/>
      <c r="G204" s="36"/>
    </row>
    <row r="205" spans="1:7" ht="45">
      <c r="A205" s="283" t="str">
        <f>'Orçamento Sintético'!A122</f>
        <v>CCU05.03.815</v>
      </c>
      <c r="B205" s="43" t="str">
        <f>VLOOKUP($A205,'Orçamento Sintético'!$A:$G,2,0)</f>
        <v>05.03.815</v>
      </c>
      <c r="C205" s="285" t="str">
        <f>VLOOKUP($A205,'Orçamento Sintético'!$A:$G,3,0)</f>
        <v>Clorador de passagem para pastilhas, vazão de 20m³/h, pressão máxima de 6,0 kgf/cm², entrada e saída de 32mm, ref. Dosaclor BP 15, fab. Aguazul</v>
      </c>
      <c r="D205" s="283" t="str">
        <f>VLOOKUP($A205,'Orçamento Sintético'!$A:$G,4,0)</f>
        <v>un</v>
      </c>
      <c r="E205" s="284"/>
      <c r="F205" s="248"/>
      <c r="G205" s="45">
        <f>SUM(G206:G208)</f>
        <v>772.8900000000001</v>
      </c>
    </row>
    <row r="206" spans="1:7" ht="33.75">
      <c r="A206" s="34" t="s">
        <v>640</v>
      </c>
      <c r="B206" s="35"/>
      <c r="C206" s="257" t="str">
        <f>VLOOKUP(A206,Insumos!$A:$D,2,0)</f>
        <v>Clorador de passagem para pastilhas, vazão de 20m³/h, pressão máxima de 6,0 kgf/cm², entrada e saída de 32mm, ref. Dosaclor BP 15, fab. Aguazul</v>
      </c>
      <c r="D206" s="258" t="str">
        <f>VLOOKUP(A206,Insumos!$A:$D,3,0)</f>
        <v>un</v>
      </c>
      <c r="E206" s="284">
        <v>1</v>
      </c>
      <c r="F206" s="247">
        <f>VLOOKUP(A206,Insumos!$A:$D,4,0)</f>
        <v>447.29</v>
      </c>
      <c r="G206" s="36">
        <f>ROUND(E206*F206,2)</f>
        <v>447.29</v>
      </c>
    </row>
    <row r="207" spans="1:7" ht="12.75">
      <c r="A207" s="34">
        <v>73612</v>
      </c>
      <c r="B207" s="35"/>
      <c r="C207" s="257" t="str">
        <f>VLOOKUP(A207,Insumos!$A:$D,2,0)</f>
        <v>Instalação de clorador</v>
      </c>
      <c r="D207" s="258" t="str">
        <f>VLOOKUP(A207,Insumos!$A:$D,3,0)</f>
        <v>un</v>
      </c>
      <c r="E207" s="284">
        <v>1</v>
      </c>
      <c r="F207" s="247">
        <f>VLOOKUP(A207,Insumos!$A:$D,4,0)</f>
        <v>325.6</v>
      </c>
      <c r="G207" s="36">
        <f>ROUND(E207*F207,2)</f>
        <v>325.6</v>
      </c>
    </row>
    <row r="208" spans="1:7" ht="12.75">
      <c r="A208" s="34"/>
      <c r="B208" s="35"/>
      <c r="C208" s="257"/>
      <c r="D208" s="258"/>
      <c r="E208" s="284"/>
      <c r="F208" s="247"/>
      <c r="G208" s="36"/>
    </row>
    <row r="209" spans="1:7" ht="12.75">
      <c r="A209" s="283" t="str">
        <f>'Orçamento Sintético'!A123</f>
        <v>CCU05.03.816</v>
      </c>
      <c r="B209" s="43" t="str">
        <f>VLOOKUP($A209,'Orçamento Sintético'!$A:$G,2,0)</f>
        <v>05.03.816</v>
      </c>
      <c r="C209" s="285" t="str">
        <f>VLOOKUP($A209,'Orçamento Sintético'!$A:$G,3,0)</f>
        <v>Filtro de areia, ref. DFR-22, fab. Dancor</v>
      </c>
      <c r="D209" s="283" t="str">
        <f>VLOOKUP($A209,'Orçamento Sintético'!$A:$G,4,0)</f>
        <v>un</v>
      </c>
      <c r="E209" s="284"/>
      <c r="F209" s="248"/>
      <c r="G209" s="45">
        <f>SUM(G210:G213)</f>
        <v>1893.6999999999998</v>
      </c>
    </row>
    <row r="210" spans="1:7" ht="22.5">
      <c r="A210" s="34" t="s">
        <v>486</v>
      </c>
      <c r="B210" s="35"/>
      <c r="C210" s="257" t="str">
        <f>VLOOKUP(A210,Insumos!$A:$D,2,0)</f>
        <v>Filtro de areia para piscinas, ref. DFR-22, fab. Dancor</v>
      </c>
      <c r="D210" s="258" t="str">
        <f>VLOOKUP(A210,Insumos!$A:$D,3,0)</f>
        <v>un</v>
      </c>
      <c r="E210" s="284">
        <v>1</v>
      </c>
      <c r="F210" s="247">
        <f>VLOOKUP(A210,Insumos!$A:$D,4,0)</f>
        <v>1818.74</v>
      </c>
      <c r="G210" s="36">
        <f>ROUND(E210*F210,2)</f>
        <v>1818.74</v>
      </c>
    </row>
    <row r="211" spans="1:7" ht="22.5">
      <c r="A211" s="34">
        <v>88248</v>
      </c>
      <c r="B211" s="35"/>
      <c r="C211" s="257" t="str">
        <f>VLOOKUP(A211,Insumos!$A:$D,2,0)</f>
        <v>Auxiliar de encanador ou bombeiro hidráulico com encargos complementares</v>
      </c>
      <c r="D211" s="258" t="str">
        <f>VLOOKUP(A211,Insumos!$A:$D,3,0)</f>
        <v>h</v>
      </c>
      <c r="E211" s="284">
        <v>2</v>
      </c>
      <c r="F211" s="247">
        <f>VLOOKUP(A211,Insumos!$A:$D,4,0)</f>
        <v>16.42</v>
      </c>
      <c r="G211" s="36">
        <f>ROUND(E211*F211,2)</f>
        <v>32.84</v>
      </c>
    </row>
    <row r="212" spans="1:7" ht="22.5">
      <c r="A212" s="34">
        <v>88267</v>
      </c>
      <c r="B212" s="35"/>
      <c r="C212" s="257" t="str">
        <f>VLOOKUP(A212,Insumos!$A:$D,2,0)</f>
        <v>Encanador ou bombeiro hidráulico com encargos complementares</v>
      </c>
      <c r="D212" s="258" t="str">
        <f>VLOOKUP(A212,Insumos!$A:$D,3,0)</f>
        <v>h</v>
      </c>
      <c r="E212" s="284">
        <v>2</v>
      </c>
      <c r="F212" s="247">
        <f>VLOOKUP(A212,Insumos!$A:$D,4,0)</f>
        <v>21.06</v>
      </c>
      <c r="G212" s="36">
        <f>ROUND(E212*F212,2)</f>
        <v>42.12</v>
      </c>
    </row>
    <row r="213" spans="1:7" ht="12.75">
      <c r="A213" s="34"/>
      <c r="B213" s="35"/>
      <c r="C213" s="257"/>
      <c r="D213" s="258"/>
      <c r="E213" s="284"/>
      <c r="F213" s="247"/>
      <c r="G213" s="36"/>
    </row>
    <row r="214" spans="1:7" ht="22.5">
      <c r="A214" s="283" t="str">
        <f>'Orçamento Sintético'!A124</f>
        <v>CCU05.03.817</v>
      </c>
      <c r="B214" s="43" t="str">
        <f>VLOOKUP($A214,'Orçamento Sintético'!$A:$G,2,0)</f>
        <v>05.03.817</v>
      </c>
      <c r="C214" s="285" t="str">
        <f>VLOOKUP($A214,'Orçamento Sintético'!$A:$G,3,0)</f>
        <v>Filtro clorador para água da chuva, ref. M400, fab. Firme Fortfiber</v>
      </c>
      <c r="D214" s="283" t="str">
        <f>VLOOKUP($A214,'Orçamento Sintético'!$A:$G,4,0)</f>
        <v>un</v>
      </c>
      <c r="E214" s="284"/>
      <c r="F214" s="248"/>
      <c r="G214" s="45">
        <f>SUM(G215:G217)</f>
        <v>1085.6</v>
      </c>
    </row>
    <row r="215" spans="1:7" ht="22.5">
      <c r="A215" s="34" t="s">
        <v>515</v>
      </c>
      <c r="B215" s="35"/>
      <c r="C215" s="257" t="str">
        <f>VLOOKUP(A215,Insumos!$A:$D,2,0)</f>
        <v>Filtro clorador para água da chuva, ref. M400, fab. Firme Fortfiber</v>
      </c>
      <c r="D215" s="258" t="str">
        <f>VLOOKUP(A215,Insumos!$A:$D,3,0)</f>
        <v>un</v>
      </c>
      <c r="E215" s="284">
        <v>1</v>
      </c>
      <c r="F215" s="247">
        <f>VLOOKUP(A215,Insumos!$A:$D,4,0)</f>
        <v>760</v>
      </c>
      <c r="G215" s="36">
        <f>ROUND(E215*F215,2)</f>
        <v>760</v>
      </c>
    </row>
    <row r="216" spans="1:7" ht="12.75">
      <c r="A216" s="34">
        <v>73612</v>
      </c>
      <c r="B216" s="35"/>
      <c r="C216" s="257" t="str">
        <f>VLOOKUP(A216,Insumos!$A:$D,2,0)</f>
        <v>Instalação de clorador</v>
      </c>
      <c r="D216" s="258" t="str">
        <f>VLOOKUP(A216,Insumos!$A:$D,3,0)</f>
        <v>un</v>
      </c>
      <c r="E216" s="284">
        <v>1</v>
      </c>
      <c r="F216" s="247">
        <f>VLOOKUP(A216,Insumos!$A:$D,4,0)</f>
        <v>325.6</v>
      </c>
      <c r="G216" s="36">
        <f>ROUND(E216*F216,2)</f>
        <v>325.6</v>
      </c>
    </row>
    <row r="217" spans="1:7" ht="12.75">
      <c r="A217" s="34"/>
      <c r="B217" s="35"/>
      <c r="C217" s="257"/>
      <c r="D217" s="258"/>
      <c r="E217" s="284"/>
      <c r="F217" s="247"/>
      <c r="G217" s="36"/>
    </row>
    <row r="218" spans="1:7" ht="22.5">
      <c r="A218" s="283" t="str">
        <f>'Orçamento Sintético'!A125</f>
        <v>CCU05.03.818</v>
      </c>
      <c r="B218" s="43" t="str">
        <f>VLOOKUP($A218,'Orçamento Sintético'!$A:$G,2,0)</f>
        <v>05.03.818</v>
      </c>
      <c r="C218" s="285" t="str">
        <f>VLOOKUP($A218,'Orçamento Sintético'!$A:$G,3,0)</f>
        <v>Hidrômetro Woltmann de 2", ref. H5000, fab. Honeywell Elster</v>
      </c>
      <c r="D218" s="283" t="str">
        <f>VLOOKUP($A218,'Orçamento Sintético'!$A:$G,4,0)</f>
        <v>un</v>
      </c>
      <c r="E218" s="284"/>
      <c r="F218" s="248"/>
      <c r="G218" s="45">
        <f>SUM(G219:G222)</f>
        <v>1740.75</v>
      </c>
    </row>
    <row r="219" spans="1:7" ht="22.5">
      <c r="A219" s="34">
        <v>12776</v>
      </c>
      <c r="B219" s="35"/>
      <c r="C219" s="257" t="str">
        <f>VLOOKUP(A219,Insumos!$A:$D,2,0)</f>
        <v>Hidrômetro Woltmann, vazão máxima de 50,0 m³h, de 2"</v>
      </c>
      <c r="D219" s="258" t="str">
        <f>VLOOKUP(A219,Insumos!$A:$D,3,0)</f>
        <v>un</v>
      </c>
      <c r="E219" s="284">
        <v>1</v>
      </c>
      <c r="F219" s="247">
        <f>VLOOKUP(A219,Insumos!$A:$D,4,0)</f>
        <v>1694.7</v>
      </c>
      <c r="G219" s="36">
        <f>ROUND(E219*F219,2)</f>
        <v>1694.7</v>
      </c>
    </row>
    <row r="220" spans="1:7" ht="12.75">
      <c r="A220" s="34">
        <v>88316</v>
      </c>
      <c r="B220" s="35"/>
      <c r="C220" s="257" t="str">
        <f>VLOOKUP(A220,Insumos!$A:$D,2,0)</f>
        <v>Servente com encargos complementares</v>
      </c>
      <c r="D220" s="258" t="str">
        <f>VLOOKUP(A220,Insumos!$A:$D,3,0)</f>
        <v>h</v>
      </c>
      <c r="E220" s="284">
        <v>1.2</v>
      </c>
      <c r="F220" s="247">
        <f>VLOOKUP(A220,Insumos!$A:$D,4,0)</f>
        <v>15.79</v>
      </c>
      <c r="G220" s="36">
        <f>ROUND(E220*F220,2)</f>
        <v>18.95</v>
      </c>
    </row>
    <row r="221" spans="1:7" ht="22.5">
      <c r="A221" s="34">
        <v>88277</v>
      </c>
      <c r="B221" s="35"/>
      <c r="C221" s="257" t="str">
        <f>VLOOKUP(A221,Insumos!$A:$D,2,0)</f>
        <v>Montador (tubo aço / equipamentos) com encargos complementares</v>
      </c>
      <c r="D221" s="258" t="str">
        <f>VLOOKUP(A221,Insumos!$A:$D,3,0)</f>
        <v>h</v>
      </c>
      <c r="E221" s="284">
        <v>1.6</v>
      </c>
      <c r="F221" s="247">
        <f>VLOOKUP(A221,Insumos!$A:$D,4,0)</f>
        <v>16.94</v>
      </c>
      <c r="G221" s="36">
        <f>ROUND(E221*F221,2)</f>
        <v>27.1</v>
      </c>
    </row>
    <row r="222" spans="1:7" ht="12.75">
      <c r="A222" s="34"/>
      <c r="B222" s="35"/>
      <c r="C222" s="257"/>
      <c r="D222" s="258"/>
      <c r="E222" s="284"/>
      <c r="F222" s="247"/>
      <c r="G222" s="36"/>
    </row>
    <row r="223" spans="1:7" ht="22.5">
      <c r="A223" s="283" t="str">
        <f>'Orçamento Sintético'!A126</f>
        <v>CCU05.03.819</v>
      </c>
      <c r="B223" s="43" t="str">
        <f>VLOOKUP($A223,'Orçamento Sintético'!$A:$G,2,0)</f>
        <v>05.03.819</v>
      </c>
      <c r="C223" s="285" t="str">
        <f>VLOOKUP($A223,'Orçamento Sintético'!$A:$G,3,0)</f>
        <v>Hidrômetro Woltmann de 2.1/2", ref. H5000, fab. Honeywell Elster</v>
      </c>
      <c r="D223" s="283" t="str">
        <f>VLOOKUP($A223,'Orçamento Sintético'!$A:$G,4,0)</f>
        <v>un</v>
      </c>
      <c r="E223" s="284"/>
      <c r="F223" s="248"/>
      <c r="G223" s="45">
        <f>SUM(G224:G227)</f>
        <v>1232.55</v>
      </c>
    </row>
    <row r="224" spans="1:7" ht="22.5">
      <c r="A224" s="34" t="s">
        <v>649</v>
      </c>
      <c r="B224" s="35"/>
      <c r="C224" s="257" t="str">
        <f>VLOOKUP(A224,Insumos!$A:$D,2,0)</f>
        <v>Hidrômetro Woltmann, diâmetro DN65, ref. H5000, fab. Honeywell Elster</v>
      </c>
      <c r="D224" s="258" t="str">
        <f>VLOOKUP(A224,Insumos!$A:$D,3,0)</f>
        <v>un</v>
      </c>
      <c r="E224" s="284">
        <v>1</v>
      </c>
      <c r="F224" s="247">
        <f>VLOOKUP(A224,Insumos!$A:$D,4,0)</f>
        <v>1186.5</v>
      </c>
      <c r="G224" s="36">
        <f>ROUND(E224*F224,2)</f>
        <v>1186.5</v>
      </c>
    </row>
    <row r="225" spans="1:7" ht="12.75">
      <c r="A225" s="34">
        <v>88316</v>
      </c>
      <c r="B225" s="35"/>
      <c r="C225" s="257" t="str">
        <f>VLOOKUP(A225,Insumos!$A:$D,2,0)</f>
        <v>Servente com encargos complementares</v>
      </c>
      <c r="D225" s="258" t="str">
        <f>VLOOKUP(A225,Insumos!$A:$D,3,0)</f>
        <v>h</v>
      </c>
      <c r="E225" s="284">
        <v>1.2</v>
      </c>
      <c r="F225" s="247">
        <f>VLOOKUP(A225,Insumos!$A:$D,4,0)</f>
        <v>15.79</v>
      </c>
      <c r="G225" s="36">
        <f>ROUND(E225*F225,2)</f>
        <v>18.95</v>
      </c>
    </row>
    <row r="226" spans="1:7" ht="22.5">
      <c r="A226" s="34">
        <v>88277</v>
      </c>
      <c r="B226" s="35"/>
      <c r="C226" s="257" t="str">
        <f>VLOOKUP(A226,Insumos!$A:$D,2,0)</f>
        <v>Montador (tubo aço / equipamentos) com encargos complementares</v>
      </c>
      <c r="D226" s="258" t="str">
        <f>VLOOKUP(A226,Insumos!$A:$D,3,0)</f>
        <v>h</v>
      </c>
      <c r="E226" s="284">
        <v>1.6</v>
      </c>
      <c r="F226" s="247">
        <f>VLOOKUP(A226,Insumos!$A:$D,4,0)</f>
        <v>16.94</v>
      </c>
      <c r="G226" s="36">
        <f>ROUND(E226*F226,2)</f>
        <v>27.1</v>
      </c>
    </row>
    <row r="227" spans="1:7" ht="12.75">
      <c r="A227" s="34"/>
      <c r="B227" s="35"/>
      <c r="C227" s="257"/>
      <c r="D227" s="258"/>
      <c r="E227" s="284"/>
      <c r="F227" s="247"/>
      <c r="G227" s="36"/>
    </row>
    <row r="228" spans="1:7" ht="22.5">
      <c r="A228" s="283" t="str">
        <f>'Orçamento Sintético'!A127</f>
        <v>CCU05.03.820</v>
      </c>
      <c r="B228" s="43" t="str">
        <f>VLOOKUP($A228,'Orçamento Sintético'!$A:$G,2,0)</f>
        <v>05.03.820</v>
      </c>
      <c r="C228" s="285" t="str">
        <f>VLOOKUP($A228,'Orçamento Sintético'!$A:$G,3,0)</f>
        <v>Hidrômetro ultrassônico DN 40mm, ref. Hydrus, fab. Diehl</v>
      </c>
      <c r="D228" s="283" t="str">
        <f>VLOOKUP($A228,'Orçamento Sintético'!$A:$G,4,0)</f>
        <v>un</v>
      </c>
      <c r="E228" s="284"/>
      <c r="F228" s="248"/>
      <c r="G228" s="45">
        <f>SUM(G229:G232)</f>
        <v>3014.96</v>
      </c>
    </row>
    <row r="229" spans="1:7" ht="22.5">
      <c r="A229" s="34" t="s">
        <v>516</v>
      </c>
      <c r="B229" s="35"/>
      <c r="C229" s="257" t="str">
        <f>VLOOKUP(A229,Insumos!$A:$D,2,0)</f>
        <v>Hidrômetro ultrassônico DN 40mm, ref. Hydrus, fab. Diehl</v>
      </c>
      <c r="D229" s="258" t="str">
        <f>VLOOKUP(A229,Insumos!$A:$D,3,0)</f>
        <v>un</v>
      </c>
      <c r="E229" s="284">
        <v>1</v>
      </c>
      <c r="F229" s="247">
        <f>VLOOKUP(A229,Insumos!$A:$D,4,0)</f>
        <v>2940</v>
      </c>
      <c r="G229" s="36">
        <f>ROUND(E229*F229,2)</f>
        <v>2940</v>
      </c>
    </row>
    <row r="230" spans="1:7" ht="22.5">
      <c r="A230" s="34">
        <v>88248</v>
      </c>
      <c r="B230" s="35"/>
      <c r="C230" s="257" t="str">
        <f>VLOOKUP(A230,Insumos!$A:$D,2,0)</f>
        <v>Auxiliar de encanador ou bombeiro hidráulico com encargos complementares</v>
      </c>
      <c r="D230" s="258" t="str">
        <f>VLOOKUP(A230,Insumos!$A:$D,3,0)</f>
        <v>h</v>
      </c>
      <c r="E230" s="284">
        <v>2</v>
      </c>
      <c r="F230" s="247">
        <f>VLOOKUP(A230,Insumos!$A:$D,4,0)</f>
        <v>16.42</v>
      </c>
      <c r="G230" s="36">
        <f>ROUND(E230*F230,2)</f>
        <v>32.84</v>
      </c>
    </row>
    <row r="231" spans="1:7" ht="22.5">
      <c r="A231" s="34">
        <v>88267</v>
      </c>
      <c r="B231" s="35"/>
      <c r="C231" s="257" t="str">
        <f>VLOOKUP(A231,Insumos!$A:$D,2,0)</f>
        <v>Encanador ou bombeiro hidráulico com encargos complementares</v>
      </c>
      <c r="D231" s="258" t="str">
        <f>VLOOKUP(A231,Insumos!$A:$D,3,0)</f>
        <v>h</v>
      </c>
      <c r="E231" s="284">
        <v>2</v>
      </c>
      <c r="F231" s="247">
        <f>VLOOKUP(A231,Insumos!$A:$D,4,0)</f>
        <v>21.06</v>
      </c>
      <c r="G231" s="36">
        <f>ROUND(E231*F231,2)</f>
        <v>42.12</v>
      </c>
    </row>
    <row r="232" spans="1:7" ht="12.75">
      <c r="A232" s="34"/>
      <c r="B232" s="35"/>
      <c r="C232" s="257"/>
      <c r="D232" s="258"/>
      <c r="E232" s="284"/>
      <c r="F232" s="247"/>
      <c r="G232" s="36"/>
    </row>
    <row r="233" spans="1:7" ht="22.5">
      <c r="A233" s="283" t="str">
        <f>'Orçamento Sintético'!A128</f>
        <v>CCU05.03.821</v>
      </c>
      <c r="B233" s="43" t="str">
        <f>VLOOKUP($A233,'Orçamento Sintético'!$A:$G,2,0)</f>
        <v>05.03.821</v>
      </c>
      <c r="C233" s="285" t="str">
        <f>VLOOKUP($A233,'Orçamento Sintético'!$A:$G,3,0)</f>
        <v>Hidrômetro ultrassônico DN 32mm, ref. Hydrus, fab. Diehl</v>
      </c>
      <c r="D233" s="283" t="str">
        <f>VLOOKUP($A233,'Orçamento Sintético'!$A:$G,4,0)</f>
        <v>un</v>
      </c>
      <c r="E233" s="284"/>
      <c r="F233" s="248"/>
      <c r="G233" s="45">
        <f>SUM(G234:G237)</f>
        <v>1597.4599999999998</v>
      </c>
    </row>
    <row r="234" spans="1:7" ht="22.5">
      <c r="A234" s="34" t="s">
        <v>521</v>
      </c>
      <c r="B234" s="35"/>
      <c r="C234" s="257" t="str">
        <f>VLOOKUP(A234,Insumos!$A:$D,2,0)</f>
        <v>Hidrômetro ultrassônico DN 32mm, ref. Hydrus, fab. Diehl</v>
      </c>
      <c r="D234" s="258" t="str">
        <f>VLOOKUP(A234,Insumos!$A:$D,3,0)</f>
        <v>un</v>
      </c>
      <c r="E234" s="284">
        <v>1</v>
      </c>
      <c r="F234" s="247">
        <f>VLOOKUP(A234,Insumos!$A:$D,4,0)</f>
        <v>1522.5</v>
      </c>
      <c r="G234" s="36">
        <f>ROUND(E234*F234,2)</f>
        <v>1522.5</v>
      </c>
    </row>
    <row r="235" spans="1:7" ht="22.5">
      <c r="A235" s="34">
        <v>88248</v>
      </c>
      <c r="B235" s="35"/>
      <c r="C235" s="257" t="str">
        <f>VLOOKUP(A235,Insumos!$A:$D,2,0)</f>
        <v>Auxiliar de encanador ou bombeiro hidráulico com encargos complementares</v>
      </c>
      <c r="D235" s="258" t="str">
        <f>VLOOKUP(A235,Insumos!$A:$D,3,0)</f>
        <v>h</v>
      </c>
      <c r="E235" s="284">
        <v>2</v>
      </c>
      <c r="F235" s="247">
        <f>VLOOKUP(A235,Insumos!$A:$D,4,0)</f>
        <v>16.42</v>
      </c>
      <c r="G235" s="36">
        <f>ROUND(E235*F235,2)</f>
        <v>32.84</v>
      </c>
    </row>
    <row r="236" spans="1:7" ht="22.5">
      <c r="A236" s="34">
        <v>88267</v>
      </c>
      <c r="B236" s="35"/>
      <c r="C236" s="257" t="str">
        <f>VLOOKUP(A236,Insumos!$A:$D,2,0)</f>
        <v>Encanador ou bombeiro hidráulico com encargos complementares</v>
      </c>
      <c r="D236" s="258" t="str">
        <f>VLOOKUP(A236,Insumos!$A:$D,3,0)</f>
        <v>h</v>
      </c>
      <c r="E236" s="284">
        <v>2</v>
      </c>
      <c r="F236" s="247">
        <f>VLOOKUP(A236,Insumos!$A:$D,4,0)</f>
        <v>21.06</v>
      </c>
      <c r="G236" s="36">
        <f>ROUND(E236*F236,2)</f>
        <v>42.12</v>
      </c>
    </row>
    <row r="237" spans="1:7" ht="12.75">
      <c r="A237" s="34"/>
      <c r="B237" s="35"/>
      <c r="C237" s="257"/>
      <c r="D237" s="258"/>
      <c r="E237" s="284"/>
      <c r="F237" s="247"/>
      <c r="G237" s="36"/>
    </row>
    <row r="238" spans="1:7" ht="22.5">
      <c r="A238" s="283" t="str">
        <f>'Orçamento Sintético'!A129</f>
        <v>CCU05.03.822</v>
      </c>
      <c r="B238" s="43" t="str">
        <f>VLOOKUP($A238,'Orçamento Sintético'!$A:$G,2,0)</f>
        <v>05.03.822</v>
      </c>
      <c r="C238" s="285" t="str">
        <f>VLOOKUP($A238,'Orçamento Sintético'!$A:$G,3,0)</f>
        <v>Hidrômetro ultrassônico DN 20mm, ref. Hydrus, fab. Diehl</v>
      </c>
      <c r="D238" s="283" t="str">
        <f>VLOOKUP($A238,'Orçamento Sintético'!$A:$G,4,0)</f>
        <v>un</v>
      </c>
      <c r="E238" s="284"/>
      <c r="F238" s="248"/>
      <c r="G238" s="45">
        <f>SUM(G239:G242)</f>
        <v>862.46</v>
      </c>
    </row>
    <row r="239" spans="1:7" ht="22.5">
      <c r="A239" s="34" t="s">
        <v>648</v>
      </c>
      <c r="B239" s="35"/>
      <c r="C239" s="257" t="str">
        <f>VLOOKUP(A239,Insumos!$A:$D,2,0)</f>
        <v>Hidrômetro ultrassônico DN 20mm, ref. Hydrus, fab. Diehl</v>
      </c>
      <c r="D239" s="258" t="str">
        <f>VLOOKUP(A239,Insumos!$A:$D,3,0)</f>
        <v>un</v>
      </c>
      <c r="E239" s="284">
        <v>1</v>
      </c>
      <c r="F239" s="247">
        <f>VLOOKUP(A239,Insumos!$A:$D,4,0)</f>
        <v>787.5</v>
      </c>
      <c r="G239" s="36">
        <f>ROUND(E239*F239,2)</f>
        <v>787.5</v>
      </c>
    </row>
    <row r="240" spans="1:7" ht="22.5">
      <c r="A240" s="34">
        <v>88248</v>
      </c>
      <c r="B240" s="35"/>
      <c r="C240" s="257" t="str">
        <f>VLOOKUP(A240,Insumos!$A:$D,2,0)</f>
        <v>Auxiliar de encanador ou bombeiro hidráulico com encargos complementares</v>
      </c>
      <c r="D240" s="258" t="str">
        <f>VLOOKUP(A240,Insumos!$A:$D,3,0)</f>
        <v>h</v>
      </c>
      <c r="E240" s="284">
        <v>2</v>
      </c>
      <c r="F240" s="247">
        <f>VLOOKUP(A240,Insumos!$A:$D,4,0)</f>
        <v>16.42</v>
      </c>
      <c r="G240" s="36">
        <f>ROUND(E240*F240,2)</f>
        <v>32.84</v>
      </c>
    </row>
    <row r="241" spans="1:7" ht="22.5">
      <c r="A241" s="34">
        <v>88267</v>
      </c>
      <c r="B241" s="35"/>
      <c r="C241" s="257" t="str">
        <f>VLOOKUP(A241,Insumos!$A:$D,2,0)</f>
        <v>Encanador ou bombeiro hidráulico com encargos complementares</v>
      </c>
      <c r="D241" s="258" t="str">
        <f>VLOOKUP(A241,Insumos!$A:$D,3,0)</f>
        <v>h</v>
      </c>
      <c r="E241" s="284">
        <v>2</v>
      </c>
      <c r="F241" s="247">
        <f>VLOOKUP(A241,Insumos!$A:$D,4,0)</f>
        <v>21.06</v>
      </c>
      <c r="G241" s="36">
        <f>ROUND(E241*F241,2)</f>
        <v>42.12</v>
      </c>
    </row>
    <row r="242" spans="1:7" ht="12.75">
      <c r="A242" s="34"/>
      <c r="B242" s="35"/>
      <c r="C242" s="257"/>
      <c r="D242" s="258"/>
      <c r="E242" s="284"/>
      <c r="F242" s="247"/>
      <c r="G242" s="36"/>
    </row>
    <row r="243" spans="1:7" ht="22.5">
      <c r="A243" s="283" t="str">
        <f>'Orçamento Sintético'!A130</f>
        <v>CCU05.03.823</v>
      </c>
      <c r="B243" s="43" t="str">
        <f>VLOOKUP($A243,'Orçamento Sintético'!$A:$G,2,0)</f>
        <v>05.03.823</v>
      </c>
      <c r="C243" s="285" t="str">
        <f>VLOOKUP($A243,'Orçamento Sintético'!$A:$G,3,0)</f>
        <v>Válvula elétrica solenóide Ø1", ref. 100-DVF, inclusive fonte, fab. Rainbird</v>
      </c>
      <c r="D243" s="283" t="str">
        <f>VLOOKUP($A243,'Orçamento Sintético'!$A:$G,4,0)</f>
        <v>un</v>
      </c>
      <c r="E243" s="284"/>
      <c r="F243" s="248"/>
      <c r="G243" s="45">
        <f>SUM(G244:G247)</f>
        <v>305.18</v>
      </c>
    </row>
    <row r="244" spans="1:7" ht="22.5">
      <c r="A244" s="34" t="s">
        <v>526</v>
      </c>
      <c r="B244" s="35"/>
      <c r="C244" s="257" t="str">
        <f>VLOOKUP(A244,Insumos!$A:$D,2,0)</f>
        <v>Válvula elétrica solenóide Ø1", ref. 100-DVF, fab. Rainbird</v>
      </c>
      <c r="D244" s="258" t="str">
        <f>VLOOKUP(A244,Insumos!$A:$D,3,0)</f>
        <v>un</v>
      </c>
      <c r="E244" s="284">
        <v>1</v>
      </c>
      <c r="F244" s="247">
        <f>VLOOKUP(A244,Insumos!$A:$D,4,0)</f>
        <v>173.72</v>
      </c>
      <c r="G244" s="36">
        <f>ROUND(E244*F244,2)</f>
        <v>173.72</v>
      </c>
    </row>
    <row r="245" spans="1:7" ht="22.5">
      <c r="A245" s="34" t="s">
        <v>517</v>
      </c>
      <c r="B245" s="35"/>
      <c r="C245" s="257" t="str">
        <f>VLOOKUP(A245,Insumos!$A:$D,2,0)</f>
        <v>Fonte para válvula solenóide, entrada 220VAC, saída 24VAC, corrente 1A, fab. Rainbird</v>
      </c>
      <c r="D245" s="258" t="str">
        <f>VLOOKUP(A245,Insumos!$A:$D,3,0)</f>
        <v>un</v>
      </c>
      <c r="E245" s="284">
        <v>1</v>
      </c>
      <c r="F245" s="247">
        <f>VLOOKUP(A245,Insumos!$A:$D,4,0)</f>
        <v>92.83</v>
      </c>
      <c r="G245" s="36">
        <f>ROUND(E245*F245,2)</f>
        <v>92.83</v>
      </c>
    </row>
    <row r="246" spans="1:7" ht="12.75">
      <c r="A246" s="34">
        <v>88264</v>
      </c>
      <c r="B246" s="35"/>
      <c r="C246" s="257" t="str">
        <f>VLOOKUP(A246,Insumos!$A:$D,2,0)</f>
        <v>Eletricista com encargos complementares</v>
      </c>
      <c r="D246" s="258" t="str">
        <f>VLOOKUP(A246,Insumos!$A:$D,3,0)</f>
        <v>h</v>
      </c>
      <c r="E246" s="284">
        <v>1</v>
      </c>
      <c r="F246" s="247">
        <f>VLOOKUP(A246,Insumos!$A:$D,4,0)</f>
        <v>21.72</v>
      </c>
      <c r="G246" s="36">
        <f>ROUND(E246*F246,2)</f>
        <v>21.72</v>
      </c>
    </row>
    <row r="247" spans="1:7" ht="13.5" customHeight="1">
      <c r="A247" s="34">
        <v>88247</v>
      </c>
      <c r="B247" s="35"/>
      <c r="C247" s="257" t="str">
        <f>VLOOKUP(A247,Insumos!$A:$D,2,0)</f>
        <v>Auxiliar de eletricista com encargos complementares</v>
      </c>
      <c r="D247" s="258" t="str">
        <f>VLOOKUP(A247,Insumos!$A:$D,3,0)</f>
        <v>h</v>
      </c>
      <c r="E247" s="284">
        <v>1</v>
      </c>
      <c r="F247" s="247">
        <f>VLOOKUP(A247,Insumos!$A:$D,4,0)</f>
        <v>16.91</v>
      </c>
      <c r="G247" s="36">
        <f>ROUND(E247*F247,2)</f>
        <v>16.91</v>
      </c>
    </row>
    <row r="248" spans="1:7" ht="12.75">
      <c r="A248" s="34"/>
      <c r="B248" s="35"/>
      <c r="C248" s="257"/>
      <c r="D248" s="258"/>
      <c r="E248" s="284"/>
      <c r="F248" s="247"/>
      <c r="G248" s="36"/>
    </row>
    <row r="249" spans="1:7" ht="22.5">
      <c r="A249" s="283" t="str">
        <f>'Orçamento Sintético'!A131</f>
        <v>CCU05.03.824</v>
      </c>
      <c r="B249" s="43" t="str">
        <f>VLOOKUP($A249,'Orçamento Sintético'!$A:$G,2,0)</f>
        <v>05.03.824</v>
      </c>
      <c r="C249" s="285" t="str">
        <f>VLOOKUP($A249,'Orçamento Sintético'!$A:$G,3,0)</f>
        <v>Niple, PVC, DN 1.1/2" - fornecimento e instalação</v>
      </c>
      <c r="D249" s="283" t="str">
        <f>VLOOKUP($A249,'Orçamento Sintético'!$A:$G,4,0)</f>
        <v>un</v>
      </c>
      <c r="E249" s="284"/>
      <c r="F249" s="248"/>
      <c r="G249" s="45">
        <f>SUM(G250:G255)</f>
        <v>13.739999999999998</v>
      </c>
    </row>
    <row r="250" spans="1:7" ht="12.75">
      <c r="A250" s="34" t="s">
        <v>596</v>
      </c>
      <c r="B250" s="35"/>
      <c r="C250" s="257" t="str">
        <f>VLOOKUP(A250,Insumos!$A:$D,2,0)</f>
        <v>Niple, PVC, DN 1.1/2"</v>
      </c>
      <c r="D250" s="258" t="str">
        <f>VLOOKUP(A250,Insumos!$A:$D,3,0)</f>
        <v>un</v>
      </c>
      <c r="E250" s="284">
        <v>1</v>
      </c>
      <c r="F250" s="247">
        <f>VLOOKUP(A250,Insumos!$A:$D,4,0)</f>
        <v>8.3895</v>
      </c>
      <c r="G250" s="36">
        <f aca="true" t="shared" si="8" ref="G250:G255">ROUND(E250*F250,2)</f>
        <v>8.39</v>
      </c>
    </row>
    <row r="251" spans="1:7" ht="12.75">
      <c r="A251" s="34">
        <v>20080</v>
      </c>
      <c r="B251" s="35"/>
      <c r="C251" s="257" t="str">
        <f>VLOOKUP(A251,Insumos!$A:$D,2,0)</f>
        <v>Adesivo plástico para PVC, frasco 175gr</v>
      </c>
      <c r="D251" s="258" t="str">
        <f>VLOOKUP(A251,Insumos!$A:$D,3,0)</f>
        <v>un</v>
      </c>
      <c r="E251" s="284">
        <f>ROUND(850*0.018/175,3)</f>
        <v>0.087</v>
      </c>
      <c r="F251" s="247">
        <f>VLOOKUP(A251,Insumos!$A:$D,4,0)</f>
        <v>17.72</v>
      </c>
      <c r="G251" s="36">
        <f t="shared" si="8"/>
        <v>1.54</v>
      </c>
    </row>
    <row r="252" spans="1:7" ht="12.75">
      <c r="A252" s="34">
        <v>20083</v>
      </c>
      <c r="B252" s="35"/>
      <c r="C252" s="257" t="str">
        <f>VLOOKUP(A252,Insumos!$A:$D,2,0)</f>
        <v>Solução limpadora para PVC, frasco com 1000cm³</v>
      </c>
      <c r="D252" s="258" t="str">
        <f>VLOOKUP(A252,Insumos!$A:$D,3,0)</f>
        <v>un</v>
      </c>
      <c r="E252" s="284">
        <v>0.022</v>
      </c>
      <c r="F252" s="247">
        <f>VLOOKUP(A252,Insumos!$A:$D,4,0)</f>
        <v>48.48</v>
      </c>
      <c r="G252" s="36">
        <f t="shared" si="8"/>
        <v>1.07</v>
      </c>
    </row>
    <row r="253" spans="1:7" ht="12.75">
      <c r="A253" s="34">
        <v>38383</v>
      </c>
      <c r="B253" s="35"/>
      <c r="C253" s="257" t="str">
        <f>VLOOKUP(A253,Insumos!$A:$D,2,0)</f>
        <v>Lixa d'água em folha, grão 100</v>
      </c>
      <c r="D253" s="258" t="str">
        <f>VLOOKUP(A253,Insumos!$A:$D,3,0)</f>
        <v>un</v>
      </c>
      <c r="E253" s="284">
        <v>0.024</v>
      </c>
      <c r="F253" s="247">
        <f>VLOOKUP(A253,Insumos!$A:$D,4,0)</f>
        <v>1.65</v>
      </c>
      <c r="G253" s="36">
        <f t="shared" si="8"/>
        <v>0.04</v>
      </c>
    </row>
    <row r="254" spans="1:7" ht="22.5">
      <c r="A254" s="34">
        <v>88267</v>
      </c>
      <c r="B254" s="35"/>
      <c r="C254" s="257" t="str">
        <f>VLOOKUP(A254,Insumos!$A:$D,2,0)</f>
        <v>Encanador ou bombeiro hidráulico com encargos complementares</v>
      </c>
      <c r="D254" s="258" t="str">
        <f>VLOOKUP(A254,Insumos!$A:$D,3,0)</f>
        <v>h</v>
      </c>
      <c r="E254" s="284">
        <v>0.072</v>
      </c>
      <c r="F254" s="247">
        <f>VLOOKUP(A254,Insumos!$A:$D,4,0)</f>
        <v>21.06</v>
      </c>
      <c r="G254" s="36">
        <f t="shared" si="8"/>
        <v>1.52</v>
      </c>
    </row>
    <row r="255" spans="1:7" ht="22.5">
      <c r="A255" s="34">
        <v>88248</v>
      </c>
      <c r="B255" s="35"/>
      <c r="C255" s="257" t="str">
        <f>VLOOKUP(A255,Insumos!$A:$D,2,0)</f>
        <v>Auxiliar de encanador ou bombeiro hidráulico com encargos complementares</v>
      </c>
      <c r="D255" s="258" t="str">
        <f>VLOOKUP(A255,Insumos!$A:$D,3,0)</f>
        <v>h</v>
      </c>
      <c r="E255" s="284">
        <f>E254</f>
        <v>0.072</v>
      </c>
      <c r="F255" s="247">
        <f>VLOOKUP(A255,Insumos!$A:$D,4,0)</f>
        <v>16.42</v>
      </c>
      <c r="G255" s="36">
        <f t="shared" si="8"/>
        <v>1.18</v>
      </c>
    </row>
    <row r="256" spans="1:7" ht="12.75">
      <c r="A256" s="34"/>
      <c r="B256" s="35"/>
      <c r="C256" s="257"/>
      <c r="D256" s="258"/>
      <c r="E256" s="284"/>
      <c r="F256" s="247"/>
      <c r="G256" s="36"/>
    </row>
    <row r="257" spans="1:7" ht="12.75">
      <c r="A257" s="283" t="str">
        <f>'Orçamento Sintético'!A132</f>
        <v>CCU05.03.825</v>
      </c>
      <c r="B257" s="43" t="str">
        <f>VLOOKUP($A257,'Orçamento Sintético'!$A:$G,2,0)</f>
        <v>05.03.825</v>
      </c>
      <c r="C257" s="285" t="str">
        <f>VLOOKUP($A257,'Orçamento Sintético'!$A:$G,3,0)</f>
        <v>Niple, PVC, DN 1" - fornecimento e instalação</v>
      </c>
      <c r="D257" s="283" t="str">
        <f>VLOOKUP($A257,'Orçamento Sintético'!$A:$G,4,0)</f>
        <v>un</v>
      </c>
      <c r="E257" s="284"/>
      <c r="F257" s="248"/>
      <c r="G257" s="45">
        <f>SUM(G258:G264)</f>
        <v>8.410000000000002</v>
      </c>
    </row>
    <row r="258" spans="1:7" ht="12.75">
      <c r="A258" s="34" t="s">
        <v>655</v>
      </c>
      <c r="B258" s="35"/>
      <c r="C258" s="257" t="str">
        <f>VLOOKUP(A258,Insumos!$A:$D,2,0)</f>
        <v>Niple, PVC, DN 1"</v>
      </c>
      <c r="D258" s="258" t="str">
        <f>VLOOKUP(A258,Insumos!$A:$D,3,0)</f>
        <v>un</v>
      </c>
      <c r="E258" s="284">
        <v>1</v>
      </c>
      <c r="F258" s="247">
        <f>VLOOKUP(A258,Insumos!$A:$D,4,0)</f>
        <v>5.24</v>
      </c>
      <c r="G258" s="36">
        <f aca="true" t="shared" si="9" ref="G258:G263">ROUND(E258*F258,2)</f>
        <v>5.24</v>
      </c>
    </row>
    <row r="259" spans="1:7" ht="12.75">
      <c r="A259" s="34">
        <v>20080</v>
      </c>
      <c r="B259" s="35"/>
      <c r="C259" s="257" t="str">
        <f>VLOOKUP(A259,Insumos!$A:$D,2,0)</f>
        <v>Adesivo plástico para PVC, frasco 175gr</v>
      </c>
      <c r="D259" s="258" t="str">
        <f>VLOOKUP(A259,Insumos!$A:$D,3,0)</f>
        <v>un</v>
      </c>
      <c r="E259" s="284">
        <f>ROUND(850*0.009/175,3)</f>
        <v>0.044</v>
      </c>
      <c r="F259" s="247">
        <f>VLOOKUP(A259,Insumos!$A:$D,4,0)</f>
        <v>17.72</v>
      </c>
      <c r="G259" s="36">
        <f t="shared" si="9"/>
        <v>0.78</v>
      </c>
    </row>
    <row r="260" spans="1:7" ht="12.75">
      <c r="A260" s="34">
        <v>20083</v>
      </c>
      <c r="B260" s="35"/>
      <c r="C260" s="257" t="str">
        <f>VLOOKUP(A260,Insumos!$A:$D,2,0)</f>
        <v>Solução limpadora para PVC, frasco com 1000cm³</v>
      </c>
      <c r="D260" s="258" t="str">
        <f>VLOOKUP(A260,Insumos!$A:$D,3,0)</f>
        <v>un</v>
      </c>
      <c r="E260" s="284">
        <v>0.011</v>
      </c>
      <c r="F260" s="247">
        <f>VLOOKUP(A260,Insumos!$A:$D,4,0)</f>
        <v>48.48</v>
      </c>
      <c r="G260" s="36">
        <f t="shared" si="9"/>
        <v>0.53</v>
      </c>
    </row>
    <row r="261" spans="1:7" ht="12.75">
      <c r="A261" s="34">
        <v>38383</v>
      </c>
      <c r="B261" s="35"/>
      <c r="C261" s="257" t="str">
        <f>VLOOKUP(A261,Insumos!$A:$D,2,0)</f>
        <v>Lixa d'água em folha, grão 100</v>
      </c>
      <c r="D261" s="258" t="str">
        <f>VLOOKUP(A261,Insumos!$A:$D,3,0)</f>
        <v>un</v>
      </c>
      <c r="E261" s="284">
        <v>0.017</v>
      </c>
      <c r="F261" s="247">
        <f>VLOOKUP(A261,Insumos!$A:$D,4,0)</f>
        <v>1.65</v>
      </c>
      <c r="G261" s="36">
        <f t="shared" si="9"/>
        <v>0.03</v>
      </c>
    </row>
    <row r="262" spans="1:7" ht="22.5">
      <c r="A262" s="34">
        <v>88267</v>
      </c>
      <c r="B262" s="35"/>
      <c r="C262" s="257" t="str">
        <f>VLOOKUP(A262,Insumos!$A:$D,2,0)</f>
        <v>Encanador ou bombeiro hidráulico com encargos complementares</v>
      </c>
      <c r="D262" s="258" t="str">
        <f>VLOOKUP(A262,Insumos!$A:$D,3,0)</f>
        <v>h</v>
      </c>
      <c r="E262" s="284">
        <v>0.049</v>
      </c>
      <c r="F262" s="247">
        <f>VLOOKUP(A262,Insumos!$A:$D,4,0)</f>
        <v>21.06</v>
      </c>
      <c r="G262" s="36">
        <f t="shared" si="9"/>
        <v>1.03</v>
      </c>
    </row>
    <row r="263" spans="1:7" ht="22.5">
      <c r="A263" s="34">
        <v>88248</v>
      </c>
      <c r="B263" s="35"/>
      <c r="C263" s="257" t="str">
        <f>VLOOKUP(A263,Insumos!$A:$D,2,0)</f>
        <v>Auxiliar de encanador ou bombeiro hidráulico com encargos complementares</v>
      </c>
      <c r="D263" s="258" t="str">
        <f>VLOOKUP(A263,Insumos!$A:$D,3,0)</f>
        <v>h</v>
      </c>
      <c r="E263" s="284">
        <f>E262</f>
        <v>0.049</v>
      </c>
      <c r="F263" s="247">
        <f>VLOOKUP(A263,Insumos!$A:$D,4,0)</f>
        <v>16.42</v>
      </c>
      <c r="G263" s="36">
        <f t="shared" si="9"/>
        <v>0.8</v>
      </c>
    </row>
    <row r="264" spans="1:7" ht="12.75">
      <c r="A264" s="34"/>
      <c r="B264" s="35"/>
      <c r="C264" s="257"/>
      <c r="D264" s="258"/>
      <c r="E264" s="284"/>
      <c r="F264" s="247"/>
      <c r="G264" s="36"/>
    </row>
    <row r="265" spans="1:7" ht="22.5">
      <c r="A265" s="283" t="str">
        <f>'Orçamento Sintético'!A133</f>
        <v>CCU05.03.826</v>
      </c>
      <c r="B265" s="43" t="str">
        <f>VLOOKUP($A265,'Orçamento Sintético'!$A:$G,2,0)</f>
        <v>05.03.826</v>
      </c>
      <c r="C265" s="285" t="str">
        <f>VLOOKUP($A265,'Orçamento Sintético'!$A:$G,3,0)</f>
        <v>Sensor de nível de líquido LA16M-40 com adaptador PVC M16 X 25, fab. Icos</v>
      </c>
      <c r="D265" s="283" t="str">
        <f>VLOOKUP($A265,'Orçamento Sintético'!$A:$G,4,0)</f>
        <v>un</v>
      </c>
      <c r="E265" s="284"/>
      <c r="F265" s="248"/>
      <c r="G265" s="45">
        <f>SUM(G266:G269)</f>
        <v>78.07</v>
      </c>
    </row>
    <row r="266" spans="1:7" ht="22.5">
      <c r="A266" s="34" t="s">
        <v>533</v>
      </c>
      <c r="B266" s="35"/>
      <c r="C266" s="257" t="str">
        <f>VLOOKUP(A266,Insumos!$A:$D,2,0)</f>
        <v>Sensor de nível de líquido LA16M-40 com adaptador PVC M16 X 25, fab. Icos</v>
      </c>
      <c r="D266" s="258" t="str">
        <f>VLOOKUP(A266,Insumos!$A:$D,3,0)</f>
        <v>un</v>
      </c>
      <c r="E266" s="284">
        <v>1</v>
      </c>
      <c r="F266" s="247">
        <f>VLOOKUP(A266,Insumos!$A:$D,4,0)</f>
        <v>58.75</v>
      </c>
      <c r="G266" s="36">
        <f>ROUND(E266*F266,2)</f>
        <v>58.75</v>
      </c>
    </row>
    <row r="267" spans="1:7" ht="12.75">
      <c r="A267" s="34">
        <v>88264</v>
      </c>
      <c r="B267" s="35"/>
      <c r="C267" s="257" t="str">
        <f>VLOOKUP(A267,Insumos!$A:$D,2,0)</f>
        <v>Eletricista com encargos complementares</v>
      </c>
      <c r="D267" s="258" t="str">
        <f>VLOOKUP(A267,Insumos!$A:$D,3,0)</f>
        <v>h</v>
      </c>
      <c r="E267" s="284">
        <v>0.5</v>
      </c>
      <c r="F267" s="247">
        <f>VLOOKUP(A267,Insumos!$A:$D,4,0)</f>
        <v>21.72</v>
      </c>
      <c r="G267" s="36">
        <f>ROUND(E267*F267,2)</f>
        <v>10.86</v>
      </c>
    </row>
    <row r="268" spans="1:7" ht="22.5">
      <c r="A268" s="34">
        <v>88247</v>
      </c>
      <c r="B268" s="35"/>
      <c r="C268" s="257" t="str">
        <f>VLOOKUP(A268,Insumos!$A:$D,2,0)</f>
        <v>Auxiliar de eletricista com encargos complementares</v>
      </c>
      <c r="D268" s="258" t="str">
        <f>VLOOKUP(A268,Insumos!$A:$D,3,0)</f>
        <v>h</v>
      </c>
      <c r="E268" s="284">
        <v>0.5</v>
      </c>
      <c r="F268" s="247">
        <f>VLOOKUP(A268,Insumos!$A:$D,4,0)</f>
        <v>16.91</v>
      </c>
      <c r="G268" s="36">
        <f>ROUND(E268*F268,2)</f>
        <v>8.46</v>
      </c>
    </row>
    <row r="269" spans="1:7" ht="12.75">
      <c r="A269" s="34"/>
      <c r="B269" s="35"/>
      <c r="C269" s="257"/>
      <c r="D269" s="258"/>
      <c r="E269" s="284"/>
      <c r="F269" s="247"/>
      <c r="G269" s="36"/>
    </row>
    <row r="270" spans="1:7" ht="22.5">
      <c r="A270" s="283" t="str">
        <f>'Orçamento Sintético'!A135</f>
        <v>CCU05.03.901</v>
      </c>
      <c r="B270" s="43" t="str">
        <f>VLOOKUP($A270,'Orçamento Sintético'!$A:$G,2,0)</f>
        <v>05.03.901</v>
      </c>
      <c r="C270" s="285" t="str">
        <f>VLOOKUP($A270,'Orçamento Sintético'!$A:$G,3,0)</f>
        <v>Reservatório de 5.000 litros em plástico reforçado com fibra de vidro (P.R.F.V)</v>
      </c>
      <c r="D270" s="283" t="str">
        <f>VLOOKUP($A270,'Orçamento Sintético'!$A:$G,4,0)</f>
        <v>un</v>
      </c>
      <c r="E270" s="284"/>
      <c r="F270" s="248"/>
      <c r="G270" s="45">
        <f>SUM(G271:G273)</f>
        <v>2017.04</v>
      </c>
    </row>
    <row r="271" spans="1:7" ht="22.5" customHeight="1">
      <c r="A271" s="34" t="s">
        <v>579</v>
      </c>
      <c r="B271" s="35"/>
      <c r="C271" s="257" t="str">
        <f>VLOOKUP(A271,Insumos!$A:$D,2,0)</f>
        <v>Reservatório em plástivo reforçado com fibra de vidro (P.R.F.V.) de 5.000 L, fab. Bakof Tec</v>
      </c>
      <c r="D271" s="258" t="str">
        <f>VLOOKUP(A271,Insumos!$A:$D,3,0)</f>
        <v>un</v>
      </c>
      <c r="E271" s="284">
        <v>1</v>
      </c>
      <c r="F271" s="247">
        <f>VLOOKUP(A271,Insumos!$A:$D,4,0)</f>
        <v>1904.6</v>
      </c>
      <c r="G271" s="36">
        <f>ROUND(E271*F271,2)</f>
        <v>1904.6</v>
      </c>
    </row>
    <row r="272" spans="1:7" ht="22.5">
      <c r="A272" s="34">
        <v>88248</v>
      </c>
      <c r="B272" s="35"/>
      <c r="C272" s="257" t="str">
        <f>VLOOKUP(A272,Insumos!$A:$D,2,0)</f>
        <v>Auxiliar de encanador ou bombeiro hidráulico com encargos complementares</v>
      </c>
      <c r="D272" s="258" t="str">
        <f>VLOOKUP(A272,Insumos!$A:$D,3,0)</f>
        <v>h</v>
      </c>
      <c r="E272" s="284">
        <v>3</v>
      </c>
      <c r="F272" s="247">
        <f>VLOOKUP(A272,Insumos!$A:$D,4,0)</f>
        <v>16.42</v>
      </c>
      <c r="G272" s="36">
        <f>ROUND(E272*F272,2)</f>
        <v>49.26</v>
      </c>
    </row>
    <row r="273" spans="1:7" ht="22.5">
      <c r="A273" s="34">
        <v>88267</v>
      </c>
      <c r="B273" s="35"/>
      <c r="C273" s="257" t="str">
        <f>VLOOKUP(A273,Insumos!$A:$D,2,0)</f>
        <v>Encanador ou bombeiro hidráulico com encargos complementares</v>
      </c>
      <c r="D273" s="258" t="str">
        <f>VLOOKUP(A273,Insumos!$A:$D,3,0)</f>
        <v>h</v>
      </c>
      <c r="E273" s="284">
        <v>3</v>
      </c>
      <c r="F273" s="247">
        <f>VLOOKUP(A273,Insumos!$A:$D,4,0)</f>
        <v>21.06</v>
      </c>
      <c r="G273" s="36">
        <f>ROUND(E273*F273,2)</f>
        <v>63.18</v>
      </c>
    </row>
    <row r="274" spans="1:7" ht="12.75">
      <c r="A274" s="34"/>
      <c r="B274" s="35"/>
      <c r="C274" s="257"/>
      <c r="D274" s="258"/>
      <c r="E274" s="284"/>
      <c r="F274" s="247"/>
      <c r="G274" s="36"/>
    </row>
    <row r="275" spans="1:7" ht="12.75">
      <c r="A275" s="283" t="str">
        <f>'Orçamento Sintético'!A136</f>
        <v>CCU05.03.902</v>
      </c>
      <c r="B275" s="43" t="str">
        <f>VLOOKUP($A275,'Orçamento Sintético'!$A:$G,2,0)</f>
        <v>05.03.902</v>
      </c>
      <c r="C275" s="285" t="str">
        <f>VLOOKUP($A275,'Orçamento Sintético'!$A:$G,3,0)</f>
        <v>Reservatório de 1.000 litros em polietileno</v>
      </c>
      <c r="D275" s="283" t="str">
        <f>VLOOKUP($A275,'Orçamento Sintético'!$A:$G,4,0)</f>
        <v>un</v>
      </c>
      <c r="E275" s="284"/>
      <c r="F275" s="248"/>
      <c r="G275" s="45">
        <f>SUM(G276:G278)</f>
        <v>447.89</v>
      </c>
    </row>
    <row r="276" spans="1:7" ht="12.75">
      <c r="A276" s="34">
        <v>34636</v>
      </c>
      <c r="B276" s="35"/>
      <c r="C276" s="257" t="str">
        <f>VLOOKUP(A276,Insumos!$A:$D,2,0)</f>
        <v>Caixa d'água em polietileno 1.000 litros, com tampa</v>
      </c>
      <c r="D276" s="258" t="str">
        <f>VLOOKUP(A276,Insumos!$A:$D,3,0)</f>
        <v>un</v>
      </c>
      <c r="E276" s="284">
        <v>1</v>
      </c>
      <c r="F276" s="247">
        <f>VLOOKUP(A276,Insumos!$A:$D,4,0)</f>
        <v>335.45</v>
      </c>
      <c r="G276" s="36">
        <f>ROUND(E276*F276,2)</f>
        <v>335.45</v>
      </c>
    </row>
    <row r="277" spans="1:7" ht="22.5">
      <c r="A277" s="34">
        <v>88248</v>
      </c>
      <c r="B277" s="35"/>
      <c r="C277" s="257" t="str">
        <f>VLOOKUP(A277,Insumos!$A:$D,2,0)</f>
        <v>Auxiliar de encanador ou bombeiro hidráulico com encargos complementares</v>
      </c>
      <c r="D277" s="258" t="str">
        <f>VLOOKUP(A277,Insumos!$A:$D,3,0)</f>
        <v>h</v>
      </c>
      <c r="E277" s="284">
        <v>3</v>
      </c>
      <c r="F277" s="247">
        <f>VLOOKUP(A277,Insumos!$A:$D,4,0)</f>
        <v>16.42</v>
      </c>
      <c r="G277" s="36">
        <f>ROUND(E277*F277,2)</f>
        <v>49.26</v>
      </c>
    </row>
    <row r="278" spans="1:7" ht="22.5">
      <c r="A278" s="34">
        <v>88267</v>
      </c>
      <c r="B278" s="35"/>
      <c r="C278" s="257" t="str">
        <f>VLOOKUP(A278,Insumos!$A:$D,2,0)</f>
        <v>Encanador ou bombeiro hidráulico com encargos complementares</v>
      </c>
      <c r="D278" s="258" t="str">
        <f>VLOOKUP(A278,Insumos!$A:$D,3,0)</f>
        <v>h</v>
      </c>
      <c r="E278" s="284">
        <v>3</v>
      </c>
      <c r="F278" s="247">
        <f>VLOOKUP(A278,Insumos!$A:$D,4,0)</f>
        <v>21.06</v>
      </c>
      <c r="G278" s="36">
        <f>ROUND(E278*F278,2)</f>
        <v>63.18</v>
      </c>
    </row>
    <row r="279" spans="1:7" ht="12.75">
      <c r="A279" s="34"/>
      <c r="B279" s="35"/>
      <c r="C279" s="257"/>
      <c r="D279" s="258"/>
      <c r="E279" s="284"/>
      <c r="F279" s="247"/>
      <c r="G279" s="36"/>
    </row>
    <row r="280" spans="1:7" ht="22.5">
      <c r="A280" s="283" t="str">
        <f>'Orçamento Sintético'!A137</f>
        <v>CCU05.03.903</v>
      </c>
      <c r="B280" s="43" t="str">
        <f>VLOOKUP($A280,'Orçamento Sintético'!$A:$G,2,0)</f>
        <v>05.03.903</v>
      </c>
      <c r="C280" s="285" t="str">
        <f>VLOOKUP($A280,'Orçamento Sintético'!$A:$G,3,0)</f>
        <v>Reservatório de 2.350 litros em polietileno, fab. Bakof</v>
      </c>
      <c r="D280" s="283" t="str">
        <f>VLOOKUP($A280,'Orçamento Sintético'!$A:$G,4,0)</f>
        <v>un</v>
      </c>
      <c r="E280" s="284"/>
      <c r="F280" s="248"/>
      <c r="G280" s="45">
        <f>SUM(G281:G284)</f>
        <v>1812.44</v>
      </c>
    </row>
    <row r="281" spans="1:7" ht="22.5">
      <c r="A281" s="34" t="s">
        <v>641</v>
      </c>
      <c r="B281" s="35"/>
      <c r="C281" s="257" t="str">
        <f>VLOOKUP(A281,Insumos!$A:$D,2,0)</f>
        <v>Reservatório de 2.350 litros em polietileno, fab. Bakof</v>
      </c>
      <c r="D281" s="258" t="str">
        <f>VLOOKUP(A281,Insumos!$A:$D,3,0)</f>
        <v>un</v>
      </c>
      <c r="E281" s="284">
        <v>1</v>
      </c>
      <c r="F281" s="247">
        <f>VLOOKUP(A281,Insumos!$A:$D,4,0)</f>
        <v>1700</v>
      </c>
      <c r="G281" s="36">
        <f>ROUND(E281*F281,2)</f>
        <v>1700</v>
      </c>
    </row>
    <row r="282" spans="1:7" ht="22.5">
      <c r="A282" s="34">
        <v>88248</v>
      </c>
      <c r="B282" s="35"/>
      <c r="C282" s="257" t="str">
        <f>VLOOKUP(A282,Insumos!$A:$D,2,0)</f>
        <v>Auxiliar de encanador ou bombeiro hidráulico com encargos complementares</v>
      </c>
      <c r="D282" s="258" t="str">
        <f>VLOOKUP(A282,Insumos!$A:$D,3,0)</f>
        <v>h</v>
      </c>
      <c r="E282" s="284">
        <v>3</v>
      </c>
      <c r="F282" s="247">
        <f>VLOOKUP(A282,Insumos!$A:$D,4,0)</f>
        <v>16.42</v>
      </c>
      <c r="G282" s="36">
        <f>ROUND(E282*F282,2)</f>
        <v>49.26</v>
      </c>
    </row>
    <row r="283" spans="1:7" ht="22.5">
      <c r="A283" s="34">
        <v>88267</v>
      </c>
      <c r="B283" s="35"/>
      <c r="C283" s="257" t="str">
        <f>VLOOKUP(A283,Insumos!$A:$D,2,0)</f>
        <v>Encanador ou bombeiro hidráulico com encargos complementares</v>
      </c>
      <c r="D283" s="258" t="str">
        <f>VLOOKUP(A283,Insumos!$A:$D,3,0)</f>
        <v>h</v>
      </c>
      <c r="E283" s="284">
        <v>3</v>
      </c>
      <c r="F283" s="247">
        <f>VLOOKUP(A283,Insumos!$A:$D,4,0)</f>
        <v>21.06</v>
      </c>
      <c r="G283" s="36">
        <f>ROUND(E283*F283,2)</f>
        <v>63.18</v>
      </c>
    </row>
    <row r="284" spans="1:7" ht="12.75">
      <c r="A284" s="34"/>
      <c r="B284" s="35"/>
      <c r="C284" s="257"/>
      <c r="D284" s="258"/>
      <c r="E284" s="284"/>
      <c r="F284" s="247"/>
      <c r="G284" s="36"/>
    </row>
    <row r="285" spans="1:7" ht="33.75">
      <c r="A285" s="283" t="str">
        <f>'Orçamento Sintético'!A138</f>
        <v>CCU05.03.904</v>
      </c>
      <c r="B285" s="43" t="str">
        <f>VLOOKUP($A285,'Orçamento Sintético'!$A:$G,2,0)</f>
        <v>05.03.904</v>
      </c>
      <c r="C285" s="285" t="str">
        <f>VLOOKUP($A285,'Orçamento Sintético'!$A:$G,3,0)</f>
        <v>Ralo em ferro fundido cinzento 40 x 40 cm, com caixilho, côncavo, ref. VFSC - 1154, fab. Fundição Vesuvio</v>
      </c>
      <c r="D285" s="283" t="str">
        <f>VLOOKUP($A285,'Orçamento Sintético'!$A:$G,4,0)</f>
        <v>un</v>
      </c>
      <c r="E285" s="284"/>
      <c r="F285" s="248"/>
      <c r="G285" s="45">
        <f>SUM(G286:G290)</f>
        <v>133.29000000000002</v>
      </c>
    </row>
    <row r="286" spans="1:7" ht="33.75">
      <c r="A286" s="34" t="s">
        <v>658</v>
      </c>
      <c r="B286" s="35"/>
      <c r="C286" s="257" t="str">
        <f>VLOOKUP(A286,Insumos!$A:$D,2,0)</f>
        <v>Ralo em ferro fundido cinzento 40 x 40 cm, com caixilho, côncavo, ref. VFSC - 1154, fab. Fundição Vesuvio</v>
      </c>
      <c r="D286" s="258" t="str">
        <f>VLOOKUP(A286,Insumos!$A:$D,3,0)</f>
        <v>un</v>
      </c>
      <c r="E286" s="284">
        <v>1</v>
      </c>
      <c r="F286" s="247">
        <f>VLOOKUP(A286,Insumos!$A:$D,4,0)</f>
        <v>121.7</v>
      </c>
      <c r="G286" s="36">
        <f>ROUND(E286*F286,2)</f>
        <v>121.7</v>
      </c>
    </row>
    <row r="287" spans="1:7" ht="22.5">
      <c r="A287" s="34">
        <v>88631</v>
      </c>
      <c r="B287" s="35"/>
      <c r="C287" s="257" t="str">
        <f>VLOOKUP(A287,Insumos!$A:$D,2,0)</f>
        <v>Argamassa traço 1:4 (cimento e areia média), preparo manual. AF_08/2014</v>
      </c>
      <c r="D287" s="258" t="str">
        <f>VLOOKUP(A287,Insumos!$A:$D,3,0)</f>
        <v>m³</v>
      </c>
      <c r="E287" s="284">
        <v>0.002</v>
      </c>
      <c r="F287" s="247">
        <f>VLOOKUP(A287,Insumos!$A:$D,4,0)</f>
        <v>391.66</v>
      </c>
      <c r="G287" s="36">
        <f>ROUND(E287*F287,2)</f>
        <v>0.78</v>
      </c>
    </row>
    <row r="288" spans="1:7" ht="12.75">
      <c r="A288" s="34">
        <v>88309</v>
      </c>
      <c r="B288" s="35"/>
      <c r="C288" s="257" t="str">
        <f>VLOOKUP(A288,Insumos!$A:$D,2,0)</f>
        <v>Pedreiro com encargos complementares</v>
      </c>
      <c r="D288" s="258" t="str">
        <f>VLOOKUP(A288,Insumos!$A:$D,3,0)</f>
        <v>h</v>
      </c>
      <c r="E288" s="284">
        <v>0.29</v>
      </c>
      <c r="F288" s="247">
        <f>VLOOKUP(A288,Insumos!$A:$D,4,0)</f>
        <v>21.47</v>
      </c>
      <c r="G288" s="36">
        <f>ROUND(E288*F288,2)</f>
        <v>6.23</v>
      </c>
    </row>
    <row r="289" spans="1:7" ht="12.75">
      <c r="A289" s="34">
        <v>88316</v>
      </c>
      <c r="B289" s="35"/>
      <c r="C289" s="257" t="str">
        <f>VLOOKUP(A289,Insumos!$A:$D,2,0)</f>
        <v>Servente com encargos complementares</v>
      </c>
      <c r="D289" s="258" t="str">
        <f>VLOOKUP(A289,Insumos!$A:$D,3,0)</f>
        <v>h</v>
      </c>
      <c r="E289" s="284">
        <v>0.29</v>
      </c>
      <c r="F289" s="247">
        <f>VLOOKUP(A289,Insumos!$A:$D,4,0)</f>
        <v>15.79</v>
      </c>
      <c r="G289" s="36">
        <f>ROUND(E289*F289,2)</f>
        <v>4.58</v>
      </c>
    </row>
    <row r="290" spans="1:7" ht="12.75">
      <c r="A290" s="34"/>
      <c r="B290" s="35"/>
      <c r="C290" s="257"/>
      <c r="D290" s="258"/>
      <c r="E290" s="284"/>
      <c r="F290" s="247"/>
      <c r="G290" s="36"/>
    </row>
    <row r="291" spans="1:7" ht="33.75">
      <c r="A291" s="283" t="str">
        <f>'Orçamento Sintético'!A139</f>
        <v>CCU05.03.905</v>
      </c>
      <c r="B291" s="43" t="str">
        <f>VLOOKUP($A291,'Orçamento Sintético'!$A:$G,2,0)</f>
        <v>05.03.905</v>
      </c>
      <c r="C291" s="285" t="str">
        <f>VLOOKUP($A291,'Orçamento Sintético'!$A:$G,3,0)</f>
        <v>Tampão em alumínio 60 x 60cm, articulado, reforçado, para reservatório superior, ref. Prolider</v>
      </c>
      <c r="D291" s="283" t="str">
        <f>VLOOKUP($A291,'Orçamento Sintético'!$A:$G,4,0)</f>
        <v>un</v>
      </c>
      <c r="E291" s="284"/>
      <c r="F291" s="248"/>
      <c r="G291" s="45">
        <f>SUM(G292:G296)</f>
        <v>539.59</v>
      </c>
    </row>
    <row r="292" spans="1:7" ht="22.5">
      <c r="A292" s="34" t="s">
        <v>19</v>
      </c>
      <c r="B292" s="35"/>
      <c r="C292" s="257" t="str">
        <f>VLOOKUP(A292,Insumos!$A:$D,2,0)</f>
        <v>Tampão em alumínio 60 x 60cm, articulado, reforçado, ref. Prolider</v>
      </c>
      <c r="D292" s="258" t="str">
        <f>VLOOKUP(A292,Insumos!$A:$D,3,0)</f>
        <v>un</v>
      </c>
      <c r="E292" s="284">
        <v>1</v>
      </c>
      <c r="F292" s="247">
        <f>VLOOKUP(A292,Insumos!$A:$D,4,0)</f>
        <v>528</v>
      </c>
      <c r="G292" s="36">
        <f>ROUND(E292*F292,2)</f>
        <v>528</v>
      </c>
    </row>
    <row r="293" spans="1:7" ht="22.5">
      <c r="A293" s="34">
        <v>88631</v>
      </c>
      <c r="B293" s="35"/>
      <c r="C293" s="257" t="str">
        <f>VLOOKUP(A293,Insumos!$A:$D,2,0)</f>
        <v>Argamassa traço 1:4 (cimento e areia média), preparo manual. AF_08/2014</v>
      </c>
      <c r="D293" s="258" t="str">
        <f>VLOOKUP(A293,Insumos!$A:$D,3,0)</f>
        <v>m³</v>
      </c>
      <c r="E293" s="284">
        <v>0.002</v>
      </c>
      <c r="F293" s="247">
        <f>VLOOKUP(A293,Insumos!$A:$D,4,0)</f>
        <v>391.66</v>
      </c>
      <c r="G293" s="36">
        <f>ROUND(E293*F293,2)</f>
        <v>0.78</v>
      </c>
    </row>
    <row r="294" spans="1:7" ht="12.75">
      <c r="A294" s="34">
        <v>88309</v>
      </c>
      <c r="B294" s="35"/>
      <c r="C294" s="257" t="str">
        <f>VLOOKUP(A294,Insumos!$A:$D,2,0)</f>
        <v>Pedreiro com encargos complementares</v>
      </c>
      <c r="D294" s="258" t="str">
        <f>VLOOKUP(A294,Insumos!$A:$D,3,0)</f>
        <v>h</v>
      </c>
      <c r="E294" s="284">
        <v>0.29</v>
      </c>
      <c r="F294" s="247">
        <f>VLOOKUP(A294,Insumos!$A:$D,4,0)</f>
        <v>21.47</v>
      </c>
      <c r="G294" s="36">
        <f>ROUND(E294*F294,2)</f>
        <v>6.23</v>
      </c>
    </row>
    <row r="295" spans="1:7" ht="12.75">
      <c r="A295" s="34">
        <v>88316</v>
      </c>
      <c r="B295" s="35"/>
      <c r="C295" s="257" t="str">
        <f>VLOOKUP(A295,Insumos!$A:$D,2,0)</f>
        <v>Servente com encargos complementares</v>
      </c>
      <c r="D295" s="258" t="str">
        <f>VLOOKUP(A295,Insumos!$A:$D,3,0)</f>
        <v>h</v>
      </c>
      <c r="E295" s="284">
        <v>0.29</v>
      </c>
      <c r="F295" s="247">
        <f>VLOOKUP(A295,Insumos!$A:$D,4,0)</f>
        <v>15.79</v>
      </c>
      <c r="G295" s="36">
        <f>ROUND(E295*F295,2)</f>
        <v>4.58</v>
      </c>
    </row>
    <row r="296" spans="1:7" ht="12.75">
      <c r="A296" s="34"/>
      <c r="B296" s="35"/>
      <c r="C296" s="257"/>
      <c r="D296" s="258"/>
      <c r="E296" s="284"/>
      <c r="F296" s="247"/>
      <c r="G296" s="36"/>
    </row>
    <row r="297" spans="1:7" ht="22.5">
      <c r="A297" s="283" t="str">
        <f>'Orçamento Sintético'!A143</f>
        <v>CCU05.03.909</v>
      </c>
      <c r="B297" s="43" t="str">
        <f>VLOOKUP($A297,'Orçamento Sintético'!$A:$G,2,0)</f>
        <v>05.03.909</v>
      </c>
      <c r="C297" s="285" t="str">
        <f>VLOOKUP($A297,'Orçamento Sintético'!$A:$G,3,0)</f>
        <v>Furo em concreto Ø85mm e fechamento com tela para separação atmosférica</v>
      </c>
      <c r="D297" s="283" t="str">
        <f>VLOOKUP($A297,'Orçamento Sintético'!$A:$G,4,0)</f>
        <v>un</v>
      </c>
      <c r="E297" s="284"/>
      <c r="F297" s="248"/>
      <c r="G297" s="45">
        <f>SUM(G298:G299)</f>
        <v>101.53</v>
      </c>
    </row>
    <row r="298" spans="1:7" ht="22.5">
      <c r="A298" s="34">
        <v>90441</v>
      </c>
      <c r="B298" s="35"/>
      <c r="C298" s="257" t="str">
        <f>VLOOKUP(A298,Insumos!$A:$D,2,0)</f>
        <v>Furo em concreto para diâmetros maiores que 75mm. AF_05/2015</v>
      </c>
      <c r="D298" s="258" t="str">
        <f>VLOOKUP(A298,Insumos!$A:$D,3,0)</f>
        <v>un</v>
      </c>
      <c r="E298" s="284">
        <v>1</v>
      </c>
      <c r="F298" s="247">
        <f>VLOOKUP(A298,Insumos!$A:$D,4,0)</f>
        <v>100.93</v>
      </c>
      <c r="G298" s="36">
        <f>ROUND(E298*F298,2)</f>
        <v>100.93</v>
      </c>
    </row>
    <row r="299" spans="1:7" ht="22.5">
      <c r="A299" s="34" t="s">
        <v>471</v>
      </c>
      <c r="B299" s="35"/>
      <c r="C299" s="257" t="str">
        <f>VLOOKUP(A299,Insumos!$A:$D,2,0)</f>
        <v>Tela de poliéster malha 1x1mm</v>
      </c>
      <c r="D299" s="258" t="str">
        <f>VLOOKUP(A299,Insumos!$A:$D,3,0)</f>
        <v>m²</v>
      </c>
      <c r="E299" s="284">
        <f>ROUND((2*3.14*0.0425)*0.15,4)</f>
        <v>0.04</v>
      </c>
      <c r="F299" s="247">
        <f>VLOOKUP(A299,Insumos!$A:$D,4,0)</f>
        <v>15</v>
      </c>
      <c r="G299" s="36">
        <f>ROUND(E299*F299,2)</f>
        <v>0.6</v>
      </c>
    </row>
    <row r="300" spans="1:7" ht="12.75">
      <c r="A300" s="34"/>
      <c r="B300" s="35"/>
      <c r="C300" s="257"/>
      <c r="D300" s="258"/>
      <c r="E300" s="284"/>
      <c r="F300" s="247"/>
      <c r="G300" s="36"/>
    </row>
    <row r="301" spans="1:7" ht="22.5">
      <c r="A301" s="283" t="str">
        <f>'Orçamento Sintético'!A147</f>
        <v>CCU05.03.913</v>
      </c>
      <c r="B301" s="43" t="str">
        <f>VLOOKUP($A301,'Orçamento Sintético'!$A:$G,2,0)</f>
        <v>05.03.913</v>
      </c>
      <c r="C301" s="285" t="str">
        <f>VLOOKUP($A301,'Orçamento Sintético'!$A:$G,3,0)</f>
        <v>Caixa de captação pluvial em tubo de concreto Ø80cm, profundidade 60cm</v>
      </c>
      <c r="D301" s="283" t="str">
        <f>VLOOKUP($A301,'Orçamento Sintético'!$A:$G,4,0)</f>
        <v>un</v>
      </c>
      <c r="E301" s="284"/>
      <c r="F301" s="248"/>
      <c r="G301" s="45">
        <f>SUM(G302:G308)</f>
        <v>207.73</v>
      </c>
    </row>
    <row r="302" spans="1:7" ht="22.5">
      <c r="A302" s="34">
        <v>7750</v>
      </c>
      <c r="B302" s="35"/>
      <c r="C302" s="257" t="str">
        <f>VLOOKUP(A302,Insumos!$A:$D,2,0)</f>
        <v>Tubo concreto armado, classe PA-1, PB, DN 800mm, para águas pluviais (NBR 8890)</v>
      </c>
      <c r="D302" s="258" t="str">
        <f>VLOOKUP(A302,Insumos!$A:$D,3,0)</f>
        <v>m</v>
      </c>
      <c r="E302" s="284">
        <f>1.03*0.6</f>
        <v>0.618</v>
      </c>
      <c r="F302" s="247">
        <f>VLOOKUP(A302,Insumos!$A:$D,4,0)</f>
        <v>192.28</v>
      </c>
      <c r="G302" s="36">
        <f aca="true" t="shared" si="10" ref="G302:G307">ROUND(E302*F302,2)</f>
        <v>118.83</v>
      </c>
    </row>
    <row r="303" spans="1:7" ht="22.5">
      <c r="A303" s="34">
        <v>88629</v>
      </c>
      <c r="B303" s="35"/>
      <c r="C303" s="257" t="str">
        <f>VLOOKUP(A303,Insumos!$A:$D,2,0)</f>
        <v>Argamassa traço 1:3 (cimento e areia média), preparo manual. AF_08/2014</v>
      </c>
      <c r="D303" s="258" t="str">
        <f>VLOOKUP(A303,Insumos!$A:$D,3,0)</f>
        <v>m³</v>
      </c>
      <c r="E303" s="284">
        <f>0.012*0.6</f>
        <v>0.0072</v>
      </c>
      <c r="F303" s="247">
        <f>VLOOKUP(A303,Insumos!$A:$D,4,0)</f>
        <v>418.19</v>
      </c>
      <c r="G303" s="36">
        <f t="shared" si="10"/>
        <v>3.01</v>
      </c>
    </row>
    <row r="304" spans="1:7" ht="33.75">
      <c r="A304" s="34">
        <v>94962</v>
      </c>
      <c r="B304" s="35"/>
      <c r="C304" s="257" t="str">
        <f>VLOOKUP(A304,Insumos!$A:$D,2,0)</f>
        <v>Concreto magro para lastro, traço 1:4,5:4,5 (cimento / areia média / brita 1) - preparo mecânico com betoneira 400l. AF_07/2016</v>
      </c>
      <c r="D304" s="258" t="str">
        <f>VLOOKUP(A304,Insumos!$A:$D,3,0)</f>
        <v>m³</v>
      </c>
      <c r="E304" s="284">
        <f>ROUND((3.14*0.45^2)*0.05,4)</f>
        <v>0.0318</v>
      </c>
      <c r="F304" s="247">
        <f>VLOOKUP(A304,Insumos!$A:$D,4,0)</f>
        <v>269.53</v>
      </c>
      <c r="G304" s="36">
        <f t="shared" si="10"/>
        <v>8.57</v>
      </c>
    </row>
    <row r="305" spans="1:7" ht="33.75">
      <c r="A305" s="34">
        <v>94963</v>
      </c>
      <c r="B305" s="35"/>
      <c r="C305" s="257" t="str">
        <f>VLOOKUP(A305,Insumos!$A:$D,2,0)</f>
        <v>Concreto fck = 15MPa, traço 1:3,4:3,5 (cimento / areia média / brita 1) - preparo mecânico com betoneira 400l. AF_07/2016</v>
      </c>
      <c r="D305" s="258" t="str">
        <f>VLOOKUP(A305,Insumos!$A:$D,3,0)</f>
        <v>m³</v>
      </c>
      <c r="E305" s="284">
        <f>ROUND((3.14*0.45^2)*0.1,4)</f>
        <v>0.0636</v>
      </c>
      <c r="F305" s="247">
        <f>VLOOKUP(A305,Insumos!$A:$D,4,0)</f>
        <v>292.36</v>
      </c>
      <c r="G305" s="36">
        <f t="shared" si="10"/>
        <v>18.59</v>
      </c>
    </row>
    <row r="306" spans="1:7" ht="12.75">
      <c r="A306" s="34">
        <v>88309</v>
      </c>
      <c r="B306" s="35"/>
      <c r="C306" s="257" t="str">
        <f>VLOOKUP(A306,Insumos!$A:$D,2,0)</f>
        <v>Pedreiro com encargos complementares</v>
      </c>
      <c r="D306" s="258" t="str">
        <f>VLOOKUP(A306,Insumos!$A:$D,3,0)</f>
        <v>h</v>
      </c>
      <c r="E306" s="284">
        <v>2</v>
      </c>
      <c r="F306" s="247">
        <f>VLOOKUP(A306,Insumos!$A:$D,4,0)</f>
        <v>21.47</v>
      </c>
      <c r="G306" s="36">
        <f t="shared" si="10"/>
        <v>42.94</v>
      </c>
    </row>
    <row r="307" spans="1:7" ht="12.75">
      <c r="A307" s="34">
        <v>88316</v>
      </c>
      <c r="B307" s="35"/>
      <c r="C307" s="257" t="str">
        <f>VLOOKUP(A307,Insumos!$A:$D,2,0)</f>
        <v>Servente com encargos complementares</v>
      </c>
      <c r="D307" s="258" t="str">
        <f>VLOOKUP(A307,Insumos!$A:$D,3,0)</f>
        <v>h</v>
      </c>
      <c r="E307" s="284">
        <v>1</v>
      </c>
      <c r="F307" s="247">
        <f>VLOOKUP(A307,Insumos!$A:$D,4,0)</f>
        <v>15.79</v>
      </c>
      <c r="G307" s="36">
        <f t="shared" si="10"/>
        <v>15.79</v>
      </c>
    </row>
    <row r="308" spans="1:7" ht="12.75">
      <c r="A308" s="34"/>
      <c r="B308" s="35"/>
      <c r="C308" s="257"/>
      <c r="D308" s="258"/>
      <c r="E308" s="284"/>
      <c r="F308" s="247"/>
      <c r="G308" s="36"/>
    </row>
    <row r="309" spans="1:7" ht="22.5">
      <c r="A309" s="283" t="str">
        <f>'Orçamento Sintético'!A151</f>
        <v>CCU05.06.102</v>
      </c>
      <c r="B309" s="43" t="str">
        <f>VLOOKUP($A309,'Orçamento Sintético'!$A:$G,2,0)</f>
        <v>05.06.102</v>
      </c>
      <c r="C309" s="285" t="str">
        <f>VLOOKUP($A309,'Orçamento Sintético'!$A:$G,3,0)</f>
        <v>Corte em concreto com discos diamantados para pisos e lajes</v>
      </c>
      <c r="D309" s="283" t="str">
        <f>VLOOKUP($A309,'Orçamento Sintético'!$A:$G,4,0)</f>
        <v>sv</v>
      </c>
      <c r="E309" s="284"/>
      <c r="F309" s="248"/>
      <c r="G309" s="45">
        <f>SUM(G310:G312)</f>
        <v>957.6299999999999</v>
      </c>
    </row>
    <row r="310" spans="1:7" ht="22.5">
      <c r="A310" s="34" t="s">
        <v>560</v>
      </c>
      <c r="B310" s="35"/>
      <c r="C310" s="257" t="str">
        <f>VLOOKUP(A310,Insumos!$A:$D,2,0)</f>
        <v>Corte em concreto com discos diamantados para pisos e lajes profundidade de corte 13 cm</v>
      </c>
      <c r="D310" s="258" t="str">
        <f>VLOOKUP(A310,Insumos!$A:$D,3,0)</f>
        <v>m</v>
      </c>
      <c r="E310" s="284">
        <f>ROUND((20.79)*12/13,3)</f>
        <v>19.191</v>
      </c>
      <c r="F310" s="247">
        <f>VLOOKUP(A310,Insumos!$A:$D,4,0)</f>
        <v>34.7</v>
      </c>
      <c r="G310" s="36">
        <f>ROUND(E310*F310,2)</f>
        <v>665.93</v>
      </c>
    </row>
    <row r="311" spans="1:7" ht="22.5">
      <c r="A311" s="34" t="s">
        <v>564</v>
      </c>
      <c r="B311" s="35"/>
      <c r="C311" s="257" t="str">
        <f>VLOOKUP(A311,Insumos!$A:$D,2,0)</f>
        <v>Corte em concreto com discos diamantados para pisos e lajes profundidade de corte 5 cm</v>
      </c>
      <c r="D311" s="258" t="str">
        <f>VLOOKUP(A311,Insumos!$A:$D,3,0)</f>
        <v>m</v>
      </c>
      <c r="E311" s="284">
        <f>ROUND((9.7)*(7/5),3)</f>
        <v>13.58</v>
      </c>
      <c r="F311" s="247">
        <f>VLOOKUP(A311,Insumos!$A:$D,4,0)</f>
        <v>21.48</v>
      </c>
      <c r="G311" s="36">
        <f>ROUND(E311*F311,2)</f>
        <v>291.7</v>
      </c>
    </row>
    <row r="312" spans="1:7" ht="12.75">
      <c r="A312" s="34"/>
      <c r="B312" s="35"/>
      <c r="C312" s="257"/>
      <c r="D312" s="258"/>
      <c r="E312" s="284"/>
      <c r="F312" s="247"/>
      <c r="G312" s="36"/>
    </row>
    <row r="313" spans="1:7" ht="45">
      <c r="A313" s="283" t="str">
        <f>'Orçamento Sintético'!A154</f>
        <v>CCU05.06.201</v>
      </c>
      <c r="B313" s="43" t="str">
        <f>VLOOKUP($A313,'Orçamento Sintético'!$A:$G,2,0)</f>
        <v>05.06.201</v>
      </c>
      <c r="C313" s="285" t="str">
        <f>VLOOKUP($A313,'Orçamento Sintético'!$A:$G,3,0)</f>
        <v>Lastro de vala com preparo de fundo, largura menor que 1,5 m, com camada de areia, lançamento manual, em local com nível baixo de interferência.</v>
      </c>
      <c r="D313" s="283" t="str">
        <f>VLOOKUP($A313,'Orçamento Sintético'!$A:$G,4,0)</f>
        <v>m³</v>
      </c>
      <c r="E313" s="284"/>
      <c r="F313" s="248"/>
      <c r="G313" s="45">
        <f>SUM(G314:G318)</f>
        <v>223.82</v>
      </c>
    </row>
    <row r="314" spans="1:7" ht="22.5">
      <c r="A314" s="34">
        <v>367</v>
      </c>
      <c r="B314" s="35"/>
      <c r="C314" s="257" t="str">
        <f>VLOOKUP(A314,Insumos!$A:$D,2,0)</f>
        <v>Areia grossa - posto jazida/fornecedor (retirado na jazida, sem transporte)</v>
      </c>
      <c r="D314" s="258" t="str">
        <f>VLOOKUP(A314,Insumos!$A:$D,3,0)</f>
        <v>m³</v>
      </c>
      <c r="E314" s="284">
        <v>1.1</v>
      </c>
      <c r="F314" s="247">
        <f>VLOOKUP(A314,Insumos!$A:$D,4,0)</f>
        <v>116.35</v>
      </c>
      <c r="G314" s="36">
        <f>ROUND(E314*F314,2)</f>
        <v>127.99</v>
      </c>
    </row>
    <row r="315" spans="1:7" ht="12.75">
      <c r="A315" s="34">
        <v>88309</v>
      </c>
      <c r="B315" s="35"/>
      <c r="C315" s="257" t="str">
        <f>VLOOKUP(A315,Insumos!$A:$D,2,0)</f>
        <v>Pedreiro com encargos complementares</v>
      </c>
      <c r="D315" s="258" t="str">
        <f>VLOOKUP(A315,Insumos!$A:$D,3,0)</f>
        <v>h</v>
      </c>
      <c r="E315" s="284">
        <v>2.065</v>
      </c>
      <c r="F315" s="247">
        <f>VLOOKUP(A315,Insumos!$A:$D,4,0)</f>
        <v>21.47</v>
      </c>
      <c r="G315" s="36">
        <f>ROUND(E315*F315,2)</f>
        <v>44.34</v>
      </c>
    </row>
    <row r="316" spans="1:7" ht="12.75">
      <c r="A316" s="34">
        <v>88316</v>
      </c>
      <c r="B316" s="35"/>
      <c r="C316" s="257" t="str">
        <f>VLOOKUP(A316,Insumos!$A:$D,2,0)</f>
        <v>Servente com encargos complementares</v>
      </c>
      <c r="D316" s="258" t="str">
        <f>VLOOKUP(A316,Insumos!$A:$D,3,0)</f>
        <v>h</v>
      </c>
      <c r="E316" s="284">
        <v>3.097</v>
      </c>
      <c r="F316" s="247">
        <f>VLOOKUP(A316,Insumos!$A:$D,4,0)</f>
        <v>15.79</v>
      </c>
      <c r="G316" s="36">
        <f>ROUND(E316*F316,2)</f>
        <v>48.9</v>
      </c>
    </row>
    <row r="317" spans="1:7" ht="33.75">
      <c r="A317" s="34">
        <v>91533</v>
      </c>
      <c r="B317" s="35"/>
      <c r="C317" s="257" t="str">
        <f>VLOOKUP(A317,Insumos!$A:$D,2,0)</f>
        <v>Compactador de solos de percussão (soquete) com motor a gasolina 4 tempos, potência 4 cv - chp diurno. Af_08/2015</v>
      </c>
      <c r="D317" s="258" t="str">
        <f>VLOOKUP(A317,Insumos!$A:$D,3,0)</f>
        <v>chp</v>
      </c>
      <c r="E317" s="284">
        <v>0.069</v>
      </c>
      <c r="F317" s="247">
        <f>VLOOKUP(A317,Insumos!$A:$D,4,0)</f>
        <v>21.11</v>
      </c>
      <c r="G317" s="36">
        <f>ROUND(E317*F317,2)</f>
        <v>1.46</v>
      </c>
    </row>
    <row r="318" spans="1:7" ht="33.75">
      <c r="A318" s="34">
        <v>91534</v>
      </c>
      <c r="B318" s="35"/>
      <c r="C318" s="257" t="str">
        <f>VLOOKUP(A318,Insumos!$A:$D,2,0)</f>
        <v>Compactador de solos de percussão (soquete) com motor a gasolina 4 tempos, potência 4 cv - chi diurno. Af_08/2015</v>
      </c>
      <c r="D318" s="258" t="str">
        <f>VLOOKUP(A318,Insumos!$A:$D,3,0)</f>
        <v>chi</v>
      </c>
      <c r="E318" s="284">
        <v>0.064</v>
      </c>
      <c r="F318" s="247">
        <f>VLOOKUP(A318,Insumos!$A:$D,4,0)</f>
        <v>17.67</v>
      </c>
      <c r="G318" s="36">
        <f>ROUND(E318*F318,2)</f>
        <v>1.13</v>
      </c>
    </row>
    <row r="319" spans="1:7" ht="12.75">
      <c r="A319" s="34"/>
      <c r="B319" s="35"/>
      <c r="C319" s="257"/>
      <c r="D319" s="258"/>
      <c r="E319" s="284"/>
      <c r="F319" s="247"/>
      <c r="G319" s="36"/>
    </row>
    <row r="320" spans="1:7" ht="12.75">
      <c r="A320" s="161"/>
      <c r="B320" s="55" t="str">
        <f>'Orçamento Sintético'!B155</f>
        <v>06.00.000</v>
      </c>
      <c r="C320" s="55" t="str">
        <f>'Orçamento Sintético'!C155</f>
        <v>INSTALAÇÕES ELÉTRICAS E ELETRÔNICAS</v>
      </c>
      <c r="D320" s="54"/>
      <c r="E320" s="56"/>
      <c r="F320" s="57"/>
      <c r="G320" s="57"/>
    </row>
    <row r="321" spans="1:7" ht="12.75">
      <c r="A321" s="180"/>
      <c r="B321" s="38" t="str">
        <f>'Orçamento Sintético'!B156</f>
        <v>06.01.000</v>
      </c>
      <c r="C321" s="39" t="str">
        <f>'Orçamento Sintético'!C156</f>
        <v>INSTALAÇÕES ELÉTRICAS</v>
      </c>
      <c r="D321" s="38"/>
      <c r="E321" s="40"/>
      <c r="F321" s="46"/>
      <c r="G321" s="42"/>
    </row>
    <row r="322" spans="1:7" ht="12.75">
      <c r="A322" s="34"/>
      <c r="B322" s="198" t="str">
        <f>'Orçamento Sintético'!B157</f>
        <v>06.01.400</v>
      </c>
      <c r="C322" s="285" t="str">
        <f>'Orçamento Sintético'!C157</f>
        <v>Rede Elétrica Secundária</v>
      </c>
      <c r="D322" s="258"/>
      <c r="E322" s="284"/>
      <c r="F322" s="247"/>
      <c r="G322" s="36"/>
    </row>
    <row r="323" spans="1:7" ht="22.5">
      <c r="A323" s="283" t="str">
        <f>'Orçamento Sintético'!A158</f>
        <v>CCU06.01.401</v>
      </c>
      <c r="B323" s="43" t="str">
        <f>VLOOKUP($A323,'Orçamento Sintético'!$A:$G,2,0)</f>
        <v>06.01.401</v>
      </c>
      <c r="C323" s="285" t="str">
        <f>VLOOKUP($A323,'Orçamento Sintético'!$A:$G,3,0)</f>
        <v>QFB1-BAP - quadro elétrico para bomba recalque de aguas pluviais e agua de reuso</v>
      </c>
      <c r="D323" s="283" t="str">
        <f>VLOOKUP($A323,'Orçamento Sintético'!$A:$G,4,0)</f>
        <v>un</v>
      </c>
      <c r="E323" s="284"/>
      <c r="F323" s="248"/>
      <c r="G323" s="45">
        <f>SUM(G324)</f>
        <v>1950</v>
      </c>
    </row>
    <row r="324" spans="1:7" ht="22.5">
      <c r="A324" s="34" t="s">
        <v>410</v>
      </c>
      <c r="B324" s="35"/>
      <c r="C324" s="257" t="str">
        <f>VLOOKUP(A324,Insumos!$A:$D,2,0)</f>
        <v>QFB1-BAP (bomba recalque de águas pluviais e água de reuso) - PJGA</v>
      </c>
      <c r="D324" s="258" t="str">
        <f>VLOOKUP(A324,Insumos!$A:$D,3,0)</f>
        <v>un</v>
      </c>
      <c r="E324" s="284">
        <v>1</v>
      </c>
      <c r="F324" s="247">
        <f>VLOOKUP(A324,Insumos!$A:$D,4,0)</f>
        <v>1950</v>
      </c>
      <c r="G324" s="36">
        <f>ROUND(E324*F324,2)</f>
        <v>1950</v>
      </c>
    </row>
    <row r="325" spans="1:7" ht="12.75">
      <c r="A325" s="34"/>
      <c r="B325" s="35"/>
      <c r="C325" s="257"/>
      <c r="D325" s="258"/>
      <c r="E325" s="284"/>
      <c r="F325" s="247"/>
      <c r="G325" s="36"/>
    </row>
    <row r="326" spans="1:7" ht="22.5">
      <c r="A326" s="283" t="str">
        <f>'Orçamento Sintético'!A159</f>
        <v>CCU06.01.402</v>
      </c>
      <c r="B326" s="43" t="str">
        <f>VLOOKUP($A326,'Orçamento Sintético'!$A:$G,2,0)</f>
        <v>06.01.402</v>
      </c>
      <c r="C326" s="285" t="str">
        <f>VLOOKUP($A326,'Orçamento Sintético'!$A:$G,3,0)</f>
        <v>QFB2-BAP - quadro elétrico para bomba recalque de aguas pluviais e agua de reuso</v>
      </c>
      <c r="D326" s="283" t="str">
        <f>VLOOKUP($A326,'Orçamento Sintético'!$A:$G,4,0)</f>
        <v>un</v>
      </c>
      <c r="E326" s="284"/>
      <c r="F326" s="248"/>
      <c r="G326" s="45">
        <f>SUM(G327)</f>
        <v>4150</v>
      </c>
    </row>
    <row r="327" spans="1:7" ht="22.5">
      <c r="A327" s="34" t="s">
        <v>411</v>
      </c>
      <c r="B327" s="35"/>
      <c r="C327" s="257" t="str">
        <f>VLOOKUP(A327,Insumos!$A:$D,2,0)</f>
        <v>QFB2-BAP (bomba recalque de águas pluviais e água de reuso) - PJGA</v>
      </c>
      <c r="D327" s="258" t="str">
        <f>VLOOKUP(A327,Insumos!$A:$D,3,0)</f>
        <v>un</v>
      </c>
      <c r="E327" s="284">
        <v>1</v>
      </c>
      <c r="F327" s="247">
        <f>VLOOKUP(A327,Insumos!$A:$D,4,0)</f>
        <v>4150</v>
      </c>
      <c r="G327" s="36">
        <f>ROUND(E327*F327,2)</f>
        <v>4150</v>
      </c>
    </row>
    <row r="328" spans="1:7" ht="12.75">
      <c r="A328" s="34"/>
      <c r="B328" s="35"/>
      <c r="C328" s="257"/>
      <c r="D328" s="258"/>
      <c r="E328" s="284"/>
      <c r="F328" s="247"/>
      <c r="G328" s="36"/>
    </row>
    <row r="329" spans="1:7" ht="33.75">
      <c r="A329" s="283" t="str">
        <f>'Orçamento Sintético'!A160</f>
        <v>CCU06.01.403</v>
      </c>
      <c r="B329" s="43" t="str">
        <f>VLOOKUP($A329,'Orçamento Sintético'!$A:$G,2,0)</f>
        <v>06.01.403</v>
      </c>
      <c r="C329" s="285" t="str">
        <f>VLOOKUP($A329,'Orçamento Sintético'!$A:$G,3,0)</f>
        <v>Eletroduto/condulete de PVC rígido, liso, cor cinza, de 25mm, para instalações aparentes (NBR 5410), instalado em forro / entreforro</v>
      </c>
      <c r="D329" s="283" t="str">
        <f>VLOOKUP($A329,'Orçamento Sintético'!$A:$G,4,0)</f>
        <v>un</v>
      </c>
      <c r="E329" s="284"/>
      <c r="F329" s="248"/>
      <c r="G329" s="45">
        <f>SUM(G330:G333)</f>
        <v>14.06</v>
      </c>
    </row>
    <row r="330" spans="1:7" ht="22.5">
      <c r="A330" s="34">
        <v>39253</v>
      </c>
      <c r="B330" s="35"/>
      <c r="C330" s="257" t="str">
        <f>VLOOKUP(A330,Insumos!$A:$D,2,0)</f>
        <v>Eletroduto/condulete de PVC rígido, liso, cor cinza, de 3/4", para instalações aparentes (NBR 5410)</v>
      </c>
      <c r="D330" s="258" t="str">
        <f>VLOOKUP(A330,Insumos!$A:$D,3,0)</f>
        <v>m</v>
      </c>
      <c r="E330" s="284">
        <v>1.017</v>
      </c>
      <c r="F330" s="247">
        <f>VLOOKUP(A330,Insumos!$A:$D,4,0)</f>
        <v>8.49</v>
      </c>
      <c r="G330" s="36">
        <f>ROUND(E330*F330,2)</f>
        <v>8.63</v>
      </c>
    </row>
    <row r="331" spans="1:7" ht="56.25">
      <c r="A331" s="34">
        <v>91170</v>
      </c>
      <c r="B331" s="35"/>
      <c r="C331" s="257" t="str">
        <f>VLOOKUP(A331,Insumos!$A:$D,2,0)</f>
        <v>Fixação de tubos horizontais de pvc, cpvc ou cobre diâmetros menores ou iguais a 40 mm ou eletrocalhas até 150mm de largura, com abraçadeira metálica rígida tipo D 1/2", fixada em perfilado em laje</v>
      </c>
      <c r="D331" s="258" t="str">
        <f>VLOOKUP(A331,Insumos!$A:$D,3,0)</f>
        <v>m</v>
      </c>
      <c r="E331" s="284">
        <v>1</v>
      </c>
      <c r="F331" s="247">
        <f>VLOOKUP(A331,Insumos!$A:$D,4,0)</f>
        <v>2.26</v>
      </c>
      <c r="G331" s="36">
        <f>ROUND(E331*F331,2)</f>
        <v>2.26</v>
      </c>
    </row>
    <row r="332" spans="1:7" ht="12.75">
      <c r="A332" s="34">
        <v>88264</v>
      </c>
      <c r="B332" s="35"/>
      <c r="C332" s="257" t="str">
        <f>VLOOKUP(A332,Insumos!$A:$D,2,0)</f>
        <v>Eletricista com encargos complementares</v>
      </c>
      <c r="D332" s="258" t="str">
        <f>VLOOKUP(A332,Insumos!$A:$D,3,0)</f>
        <v>h</v>
      </c>
      <c r="E332" s="284">
        <v>0.082</v>
      </c>
      <c r="F332" s="247">
        <f>VLOOKUP(A332,Insumos!$A:$D,4,0)</f>
        <v>21.72</v>
      </c>
      <c r="G332" s="36">
        <f>ROUND(E332*F332,2)</f>
        <v>1.78</v>
      </c>
    </row>
    <row r="333" spans="1:7" ht="22.5">
      <c r="A333" s="34">
        <v>88247</v>
      </c>
      <c r="B333" s="35"/>
      <c r="C333" s="257" t="str">
        <f>VLOOKUP(A333,Insumos!$A:$D,2,0)</f>
        <v>Auxiliar de eletricista com encargos complementares</v>
      </c>
      <c r="D333" s="258" t="str">
        <f>VLOOKUP(A333,Insumos!$A:$D,3,0)</f>
        <v>h</v>
      </c>
      <c r="E333" s="284">
        <f>E332</f>
        <v>0.082</v>
      </c>
      <c r="F333" s="247">
        <f>VLOOKUP(A333,Insumos!$A:$D,4,0)</f>
        <v>16.91</v>
      </c>
      <c r="G333" s="36">
        <f>ROUND(E333*F333,2)</f>
        <v>1.39</v>
      </c>
    </row>
    <row r="334" spans="1:7" ht="12.75">
      <c r="A334" s="34"/>
      <c r="B334" s="35"/>
      <c r="C334" s="257"/>
      <c r="D334" s="258"/>
      <c r="E334" s="284"/>
      <c r="F334" s="247"/>
      <c r="G334" s="36"/>
    </row>
    <row r="335" spans="1:7" ht="33.75">
      <c r="A335" s="283" t="str">
        <f>'Orçamento Sintético'!A161</f>
        <v>CCU06.01.404</v>
      </c>
      <c r="B335" s="43" t="str">
        <f>VLOOKUP($A335,'Orçamento Sintético'!$A:$G,2,0)</f>
        <v>06.01.404</v>
      </c>
      <c r="C335" s="285" t="str">
        <f>VLOOKUP($A335,'Orçamento Sintético'!$A:$G,3,0)</f>
        <v>Eletroduto/condulete de PVC rígido, liso, cor cinza, de 32mm, para instalações aparentes (NBR 5410), instalado em forro / entreforro</v>
      </c>
      <c r="D335" s="283" t="str">
        <f>VLOOKUP($A335,'Orçamento Sintético'!$A:$G,4,0)</f>
        <v>un</v>
      </c>
      <c r="E335" s="284"/>
      <c r="F335" s="248"/>
      <c r="G335" s="45">
        <f>SUM(G336:G339)</f>
        <v>18.889999999999997</v>
      </c>
    </row>
    <row r="336" spans="1:7" ht="22.5">
      <c r="A336" s="34">
        <v>39255</v>
      </c>
      <c r="B336" s="35"/>
      <c r="C336" s="257" t="str">
        <f>VLOOKUP(A336,Insumos!$A:$D,2,0)</f>
        <v>Eletroduto/condulete de PVC rígido, liso, cor cinza, de 1", para instalações aparentes (NBR 5410)</v>
      </c>
      <c r="D336" s="258" t="str">
        <f>VLOOKUP(A336,Insumos!$A:$D,3,0)</f>
        <v>m</v>
      </c>
      <c r="E336" s="284">
        <v>1.017</v>
      </c>
      <c r="F336" s="247">
        <f>VLOOKUP(A336,Insumos!$A:$D,4,0)</f>
        <v>12.33</v>
      </c>
      <c r="G336" s="36">
        <f>ROUND(E336*F336,2)</f>
        <v>12.54</v>
      </c>
    </row>
    <row r="337" spans="1:7" ht="56.25">
      <c r="A337" s="34">
        <v>91170</v>
      </c>
      <c r="B337" s="35"/>
      <c r="C337" s="257" t="str">
        <f>VLOOKUP(A337,Insumos!$A:$D,2,0)</f>
        <v>Fixação de tubos horizontais de pvc, cpvc ou cobre diâmetros menores ou iguais a 40 mm ou eletrocalhas até 150mm de largura, com abraçadeira metálica rígida tipo D 1/2", fixada em perfilado em laje</v>
      </c>
      <c r="D337" s="258" t="str">
        <f>VLOOKUP(A337,Insumos!$A:$D,3,0)</f>
        <v>m</v>
      </c>
      <c r="E337" s="284">
        <v>1</v>
      </c>
      <c r="F337" s="247">
        <f>VLOOKUP(A337,Insumos!$A:$D,4,0)</f>
        <v>2.26</v>
      </c>
      <c r="G337" s="36">
        <f>ROUND(E337*F337,2)</f>
        <v>2.26</v>
      </c>
    </row>
    <row r="338" spans="1:7" ht="12.75">
      <c r="A338" s="34">
        <v>88264</v>
      </c>
      <c r="B338" s="35"/>
      <c r="C338" s="257" t="str">
        <f>VLOOKUP(A338,Insumos!$A:$D,2,0)</f>
        <v>Eletricista com encargos complementares</v>
      </c>
      <c r="D338" s="258" t="str">
        <f>VLOOKUP(A338,Insumos!$A:$D,3,0)</f>
        <v>h</v>
      </c>
      <c r="E338" s="284">
        <v>0.106</v>
      </c>
      <c r="F338" s="247">
        <f>VLOOKUP(A338,Insumos!$A:$D,4,0)</f>
        <v>21.72</v>
      </c>
      <c r="G338" s="36">
        <f>ROUND(E338*F338,2)</f>
        <v>2.3</v>
      </c>
    </row>
    <row r="339" spans="1:7" ht="22.5">
      <c r="A339" s="34">
        <v>88247</v>
      </c>
      <c r="B339" s="35"/>
      <c r="C339" s="257" t="str">
        <f>VLOOKUP(A339,Insumos!$A:$D,2,0)</f>
        <v>Auxiliar de eletricista com encargos complementares</v>
      </c>
      <c r="D339" s="258" t="str">
        <f>VLOOKUP(A339,Insumos!$A:$D,3,0)</f>
        <v>h</v>
      </c>
      <c r="E339" s="284">
        <f>E338</f>
        <v>0.106</v>
      </c>
      <c r="F339" s="247">
        <f>VLOOKUP(A339,Insumos!$A:$D,4,0)</f>
        <v>16.91</v>
      </c>
      <c r="G339" s="36">
        <f>ROUND(E339*F339,2)</f>
        <v>1.79</v>
      </c>
    </row>
    <row r="340" spans="1:7" ht="12.75">
      <c r="A340" s="34"/>
      <c r="B340" s="35"/>
      <c r="C340" s="257"/>
      <c r="D340" s="258"/>
      <c r="E340" s="284"/>
      <c r="F340" s="247"/>
      <c r="G340" s="36"/>
    </row>
    <row r="341" spans="1:7" ht="33.75">
      <c r="A341" s="283" t="str">
        <f>'Orçamento Sintético'!A162</f>
        <v>CCU06.01.405</v>
      </c>
      <c r="B341" s="43" t="str">
        <f>VLOOKUP($A341,'Orçamento Sintético'!$A:$G,2,0)</f>
        <v>06.01.405</v>
      </c>
      <c r="C341" s="285" t="str">
        <f>VLOOKUP($A341,'Orçamento Sintético'!$A:$G,3,0)</f>
        <v>Eletroduto de aço carbono classe semi pesado, Ø32mm (1 1/4" ), aparente, instalado sobre piso - fornecimento e instalação</v>
      </c>
      <c r="D341" s="283" t="str">
        <f>VLOOKUP($A341,'Orçamento Sintético'!$A:$G,4,0)</f>
        <v>un</v>
      </c>
      <c r="E341" s="284"/>
      <c r="F341" s="248"/>
      <c r="G341" s="45">
        <f>SUM(G342:G345)</f>
        <v>31.96</v>
      </c>
    </row>
    <row r="342" spans="1:7" ht="22.5">
      <c r="A342" s="34" t="s">
        <v>28</v>
      </c>
      <c r="B342" s="35"/>
      <c r="C342" s="257" t="str">
        <f>VLOOKUP(A342,Insumos!$A:$D,2,0)</f>
        <v>Eletroduto de aço com costura galvanização eletrolítica Ø 1.1/4"</v>
      </c>
      <c r="D342" s="258" t="str">
        <f>VLOOKUP(A342,Insumos!$A:$D,3,0)</f>
        <v>m</v>
      </c>
      <c r="E342" s="284">
        <v>1.05</v>
      </c>
      <c r="F342" s="247">
        <f>VLOOKUP(A342,Insumos!$A:$D,4,0)</f>
        <v>11.73</v>
      </c>
      <c r="G342" s="36">
        <f>ROUND(E342*F342,2)</f>
        <v>12.32</v>
      </c>
    </row>
    <row r="343" spans="1:7" ht="56.25">
      <c r="A343" s="34">
        <v>91170</v>
      </c>
      <c r="B343" s="35"/>
      <c r="C343" s="257" t="str">
        <f>VLOOKUP(A343,Insumos!$A:$D,2,0)</f>
        <v>Fixação de tubos horizontais de pvc, cpvc ou cobre diâmetros menores ou iguais a 40 mm ou eletrocalhas até 150mm de largura, com abraçadeira metálica rígida tipo D 1/2", fixada em perfilado em laje</v>
      </c>
      <c r="D343" s="258" t="str">
        <f>VLOOKUP(A343,Insumos!$A:$D,3,0)</f>
        <v>m</v>
      </c>
      <c r="E343" s="284">
        <v>1</v>
      </c>
      <c r="F343" s="247">
        <f>VLOOKUP(A343,Insumos!$A:$D,4,0)</f>
        <v>2.26</v>
      </c>
      <c r="G343" s="36">
        <f>ROUND(E343*F343,2)</f>
        <v>2.26</v>
      </c>
    </row>
    <row r="344" spans="1:7" ht="12.75">
      <c r="A344" s="34">
        <v>88264</v>
      </c>
      <c r="B344" s="35"/>
      <c r="C344" s="257" t="str">
        <f>VLOOKUP(A344,Insumos!$A:$D,2,0)</f>
        <v>Eletricista com encargos complementares</v>
      </c>
      <c r="D344" s="258" t="str">
        <f>VLOOKUP(A344,Insumos!$A:$D,3,0)</f>
        <v>h</v>
      </c>
      <c r="E344" s="284">
        <v>0.45</v>
      </c>
      <c r="F344" s="247">
        <f>VLOOKUP(A344,Insumos!$A:$D,4,0)</f>
        <v>21.72</v>
      </c>
      <c r="G344" s="36">
        <f>ROUND(E344*F344,2)</f>
        <v>9.77</v>
      </c>
    </row>
    <row r="345" spans="1:7" ht="21" customHeight="1">
      <c r="A345" s="34">
        <v>88247</v>
      </c>
      <c r="B345" s="35"/>
      <c r="C345" s="257" t="str">
        <f>VLOOKUP(A345,Insumos!$A:$D,2,0)</f>
        <v>Auxiliar de eletricista com encargos complementares</v>
      </c>
      <c r="D345" s="258" t="str">
        <f>VLOOKUP(A345,Insumos!$A:$D,3,0)</f>
        <v>h</v>
      </c>
      <c r="E345" s="284">
        <f>E344</f>
        <v>0.45</v>
      </c>
      <c r="F345" s="247">
        <f>VLOOKUP(A345,Insumos!$A:$D,4,0)</f>
        <v>16.91</v>
      </c>
      <c r="G345" s="36">
        <f>ROUND(E345*F345,2)</f>
        <v>7.61</v>
      </c>
    </row>
    <row r="346" spans="1:7" ht="12.75">
      <c r="A346" s="34"/>
      <c r="B346" s="35"/>
      <c r="C346" s="257"/>
      <c r="D346" s="258"/>
      <c r="E346" s="284"/>
      <c r="F346" s="247"/>
      <c r="G346" s="36"/>
    </row>
    <row r="347" spans="1:7" ht="56.25">
      <c r="A347" s="283" t="str">
        <f>'Orçamento Sintético'!A163</f>
        <v>CCU06.01.406</v>
      </c>
      <c r="B347" s="43" t="str">
        <f>VLOOKUP($A347,'Orçamento Sintético'!$A:$G,2,0)</f>
        <v>06.01.406</v>
      </c>
      <c r="C347" s="285" t="str">
        <f>VLOOKUP($A347,'Orçamento Sintético'!$A:$G,3,0)</f>
        <v>Cabo HEPR singelo, de cobre flexível, 6 mm², têmpera mole, encordoamento classe 5, isolação termofixa em dupla camada de borracha etilenopropileno HEPR 90°C 0,6/1kV, fabricação Prysmian, linha Eprotenax Gsette</v>
      </c>
      <c r="D347" s="283" t="str">
        <f>VLOOKUP($A347,'Orçamento Sintético'!$A:$G,4,0)</f>
        <v>m</v>
      </c>
      <c r="E347" s="284"/>
      <c r="F347" s="248"/>
      <c r="G347" s="45">
        <f>SUM(G348:G351)</f>
        <v>6.01</v>
      </c>
    </row>
    <row r="348" spans="1:7" ht="33.75">
      <c r="A348" s="34" t="s">
        <v>121</v>
      </c>
      <c r="B348" s="35"/>
      <c r="C348" s="257" t="str">
        <f>VLOOKUP(A348,Insumos!$A:$D,2,0)</f>
        <v>Cabo singelo de cobre, flexível, classe 4 ou 5, isolação em HEPR, cobertura em PVC-ST2, antichama BWF-b, 0,6/1 kV, 6,00mm²</v>
      </c>
      <c r="D348" s="258" t="str">
        <f>VLOOKUP(A348,Insumos!$A:$D,3,0)</f>
        <v>m</v>
      </c>
      <c r="E348" s="284">
        <v>1.19</v>
      </c>
      <c r="F348" s="247">
        <f>VLOOKUP(A348,Insumos!$A:$D,4,0)</f>
        <v>3.33</v>
      </c>
      <c r="G348" s="36">
        <f>ROUND(E348*F348,2)</f>
        <v>3.96</v>
      </c>
    </row>
    <row r="349" spans="1:7" ht="22.5">
      <c r="A349" s="34">
        <v>21127</v>
      </c>
      <c r="B349" s="35"/>
      <c r="C349" s="257" t="str">
        <f>VLOOKUP(A349,Insumos!$A:$D,2,0)</f>
        <v>Fita isolante adesiva antichama, uso ate 750 v, em rolo de 19 mm x 5 m</v>
      </c>
      <c r="D349" s="258" t="str">
        <f>VLOOKUP(A349,Insumos!$A:$D,3,0)</f>
        <v>un</v>
      </c>
      <c r="E349" s="284">
        <v>0.009</v>
      </c>
      <c r="F349" s="247">
        <f>VLOOKUP(A349,Insumos!$A:$D,4,0)</f>
        <v>4.14</v>
      </c>
      <c r="G349" s="36">
        <f>ROUND(E349*F349,2)</f>
        <v>0.04</v>
      </c>
    </row>
    <row r="350" spans="1:7" ht="12.75">
      <c r="A350" s="34">
        <v>88264</v>
      </c>
      <c r="B350" s="35"/>
      <c r="C350" s="257" t="str">
        <f>VLOOKUP(A350,Insumos!$A:$D,2,0)</f>
        <v>Eletricista com encargos complementares</v>
      </c>
      <c r="D350" s="258" t="str">
        <f>VLOOKUP(A350,Insumos!$A:$D,3,0)</f>
        <v>h</v>
      </c>
      <c r="E350" s="284">
        <v>0.052</v>
      </c>
      <c r="F350" s="247">
        <f>VLOOKUP(A350,Insumos!$A:$D,4,0)</f>
        <v>21.72</v>
      </c>
      <c r="G350" s="36">
        <f>ROUND(E350*F350,2)</f>
        <v>1.13</v>
      </c>
    </row>
    <row r="351" spans="1:7" ht="22.5">
      <c r="A351" s="34">
        <v>88247</v>
      </c>
      <c r="B351" s="35"/>
      <c r="C351" s="257" t="str">
        <f>VLOOKUP(A351,Insumos!$A:$D,2,0)</f>
        <v>Auxiliar de eletricista com encargos complementares</v>
      </c>
      <c r="D351" s="258" t="str">
        <f>VLOOKUP(A351,Insumos!$A:$D,3,0)</f>
        <v>h</v>
      </c>
      <c r="E351" s="284">
        <f>E350</f>
        <v>0.052</v>
      </c>
      <c r="F351" s="247">
        <f>VLOOKUP(A351,Insumos!$A:$D,4,0)</f>
        <v>16.91</v>
      </c>
      <c r="G351" s="36">
        <f>ROUND(E351*F351,2)</f>
        <v>0.88</v>
      </c>
    </row>
    <row r="352" spans="1:7" ht="12.75">
      <c r="A352" s="161" t="str">
        <f>'Orçamento Sintético'!B169</f>
        <v>09.00.000</v>
      </c>
      <c r="B352" s="55" t="str">
        <f>'Orçamento Sintético'!B169</f>
        <v>09.00.000</v>
      </c>
      <c r="C352" s="55" t="str">
        <f>'Orçamento Sintético'!C169</f>
        <v>SERVIÇOS COMPLEMENTARES</v>
      </c>
      <c r="D352" s="54"/>
      <c r="E352" s="56"/>
      <c r="F352" s="57"/>
      <c r="G352" s="57"/>
    </row>
    <row r="353" spans="1:7" ht="12.75">
      <c r="A353" s="180"/>
      <c r="B353" s="38" t="str">
        <f>'Orçamento Sintético'!B170</f>
        <v>09.02.000</v>
      </c>
      <c r="C353" s="39" t="str">
        <f>'Orçamento Sintético'!C170</f>
        <v>Limpeza de obra</v>
      </c>
      <c r="D353" s="38"/>
      <c r="E353" s="40"/>
      <c r="F353" s="46"/>
      <c r="G353" s="42"/>
    </row>
    <row r="354" spans="1:7" ht="12.75">
      <c r="A354" s="283" t="str">
        <f>'Orçamento Sintético'!A171</f>
        <v>CCU09.02.001</v>
      </c>
      <c r="B354" s="43" t="str">
        <f>VLOOKUP($A354,'Orçamento Sintético'!$A:$G,2,0)</f>
        <v>09.02.001</v>
      </c>
      <c r="C354" s="285" t="str">
        <f>VLOOKUP($A354,'Orçamento Sintético'!$A:$G,3,0)</f>
        <v>Limpeza final da obra </v>
      </c>
      <c r="D354" s="283" t="str">
        <f>VLOOKUP($A354,'Orçamento Sintético'!$A:$G,4,0)</f>
        <v>m²</v>
      </c>
      <c r="E354" s="284"/>
      <c r="F354" s="248"/>
      <c r="G354" s="45">
        <f>SUM(G355)</f>
        <v>11.05</v>
      </c>
    </row>
    <row r="355" spans="1:7" ht="12.75">
      <c r="A355" s="252">
        <v>88316</v>
      </c>
      <c r="B355" s="333"/>
      <c r="C355" s="263" t="str">
        <f>VLOOKUP(A355,Insumos!$A:$D,2,0)</f>
        <v>Servente com encargos complementares</v>
      </c>
      <c r="D355" s="37" t="str">
        <f>VLOOKUP(A355,Insumos!$A:$D,3,0)</f>
        <v>h</v>
      </c>
      <c r="E355" s="334">
        <v>0.7</v>
      </c>
      <c r="F355" s="294">
        <f>VLOOKUP(A355,Insumos!$A:$D,4,0)</f>
        <v>15.79</v>
      </c>
      <c r="G355" s="253">
        <f>ROUND(E355*F355,2)</f>
        <v>11.05</v>
      </c>
    </row>
  </sheetData>
  <sheetProtection selectLockedCells="1" selectUnlockedCells="1"/>
  <mergeCells count="9">
    <mergeCell ref="A1:E1"/>
    <mergeCell ref="D7:E7"/>
    <mergeCell ref="F7:G7"/>
    <mergeCell ref="F2:G2"/>
    <mergeCell ref="F3:G3"/>
    <mergeCell ref="A5:B5"/>
    <mergeCell ref="D5:E5"/>
    <mergeCell ref="F5:G5"/>
    <mergeCell ref="A7:B7"/>
  </mergeCells>
  <hyperlinks>
    <hyperlink ref="F621" r:id="rId1" display="http://br01.webdms.sika.com/fileshow.do?documentID=49"/>
    <hyperlink ref="F608" r:id="rId2" display="http://br01.webdms.sika.com/fileshow.do?documentID=49"/>
    <hyperlink ref="H483" r:id="rId3" display="http://www.gessotrevo.com.br/gesso_cola.php"/>
    <hyperlink ref="F819" r:id="rId4" display="http://br01.webdms.sika.com/fileshow.do?documentID=49"/>
    <hyperlink ref="F806" r:id="rId5" display="http://br01.webdms.sika.com/fileshow.do?documentID=49"/>
    <hyperlink ref="H667" r:id="rId6" display="http://www.gessotrevo.com.br/gesso_cola.php"/>
    <hyperlink ref="E371" r:id="rId7" display="http://br01.webdms.sika.com/fileshow.do?documentID=49"/>
    <hyperlink ref="E358" r:id="rId8" display="http://br01.webdms.sika.com/fileshow.do?documentID=49"/>
    <hyperlink ref="F371" r:id="rId9" display="http://br01.webdms.sika.com/fileshow.do?documentID=49"/>
    <hyperlink ref="F358" r:id="rId10" display="http://br01.webdms.sika.com/fileshow.do?documentID=49"/>
    <hyperlink ref="D371" r:id="rId11" display="http://br01.webdms.sika.com/fileshow.do?documentID=49"/>
    <hyperlink ref="D358" r:id="rId12" display="http://br01.webdms.sika.com/fileshow.do?documentID=49"/>
    <hyperlink ref="F373" r:id="rId13" display="http://br01.webdms.sika.com/fileshow.do?documentID=49"/>
    <hyperlink ref="F360" r:id="rId14" display="http://br01.webdms.sika.com/fileshow.do?documentID=49"/>
    <hyperlink ref="E373" r:id="rId15" display="http://br01.webdms.sika.com/fileshow.do?documentID=49"/>
    <hyperlink ref="E360" r:id="rId16" display="http://br01.webdms.sika.com/fileshow.do?documentID=49"/>
    <hyperlink ref="D373" r:id="rId17" display="http://br01.webdms.sika.com/fileshow.do?documentID=49"/>
    <hyperlink ref="D360" r:id="rId18" display="http://br01.webdms.sika.com/fileshow.do?documentID=49"/>
    <hyperlink ref="F606" r:id="rId19" display="http://br01.webdms.sika.com/fileshow.do?documentID=49"/>
    <hyperlink ref="F593" r:id="rId20" display="http://br01.webdms.sika.com/fileshow.do?documentID=49"/>
    <hyperlink ref="H468" r:id="rId21" display="http://www.gessotrevo.com.br/gesso_cola.php"/>
    <hyperlink ref="F804" r:id="rId22" display="http://br01.webdms.sika.com/fileshow.do?documentID=49"/>
    <hyperlink ref="F791" r:id="rId23" display="http://br01.webdms.sika.com/fileshow.do?documentID=49"/>
    <hyperlink ref="H652" r:id="rId24" display="http://www.gessotrevo.com.br/gesso_cola.php"/>
    <hyperlink ref="F576" r:id="rId25" display="http://br01.webdms.sika.com/fileshow.do?documentID=49"/>
    <hyperlink ref="F563" r:id="rId26" display="http://br01.webdms.sika.com/fileshow.do?documentID=49"/>
    <hyperlink ref="H438" r:id="rId27" display="http://www.gessotrevo.com.br/gesso_cola.php"/>
    <hyperlink ref="F774" r:id="rId28" display="http://br01.webdms.sika.com/fileshow.do?documentID=49"/>
    <hyperlink ref="F761" r:id="rId29" display="http://br01.webdms.sika.com/fileshow.do?documentID=49"/>
    <hyperlink ref="H622" r:id="rId30" display="http://www.gessotrevo.com.br/gesso_cola.php"/>
    <hyperlink ref="F584" r:id="rId31" display="http://br01.webdms.sika.com/fileshow.do?documentID=49"/>
    <hyperlink ref="F571" r:id="rId32" display="http://br01.webdms.sika.com/fileshow.do?documentID=49"/>
    <hyperlink ref="H446" r:id="rId33" display="http://www.gessotrevo.com.br/gesso_cola.php"/>
    <hyperlink ref="F782" r:id="rId34" display="http://br01.webdms.sika.com/fileshow.do?documentID=49"/>
    <hyperlink ref="F769" r:id="rId35" display="http://br01.webdms.sika.com/fileshow.do?documentID=49"/>
    <hyperlink ref="H630" r:id="rId36" display="http://www.gessotrevo.com.br/gesso_cola.php"/>
    <hyperlink ref="F549" r:id="rId37" display="http://br01.webdms.sika.com/fileshow.do?documentID=49"/>
    <hyperlink ref="F536" r:id="rId38" display="http://br01.webdms.sika.com/fileshow.do?documentID=49"/>
    <hyperlink ref="H411" r:id="rId39" display="http://www.gessotrevo.com.br/gesso_cola.php"/>
    <hyperlink ref="F747" r:id="rId40" display="http://br01.webdms.sika.com/fileshow.do?documentID=49"/>
    <hyperlink ref="F734" r:id="rId41" display="http://br01.webdms.sika.com/fileshow.do?documentID=49"/>
    <hyperlink ref="H595" r:id="rId42" display="http://www.gessotrevo.com.br/gesso_cola.php"/>
    <hyperlink ref="F602" r:id="rId43" display="http://br01.webdms.sika.com/fileshow.do?documentID=49"/>
    <hyperlink ref="F589" r:id="rId44" display="http://br01.webdms.sika.com/fileshow.do?documentID=49"/>
    <hyperlink ref="H464" r:id="rId45" display="http://www.gessotrevo.com.br/gesso_cola.php"/>
    <hyperlink ref="F800" r:id="rId46" display="http://br01.webdms.sika.com/fileshow.do?documentID=49"/>
    <hyperlink ref="F787" r:id="rId47" display="http://br01.webdms.sika.com/fileshow.do?documentID=49"/>
    <hyperlink ref="H648" r:id="rId48" display="http://www.gessotrevo.com.br/gesso_cola.php"/>
    <hyperlink ref="F594" r:id="rId49" display="http://br01.webdms.sika.com/fileshow.do?documentID=49"/>
    <hyperlink ref="F581" r:id="rId50" display="http://br01.webdms.sika.com/fileshow.do?documentID=49"/>
    <hyperlink ref="H455" r:id="rId51" display="http://www.gessotrevo.com.br/gesso_cola.php"/>
    <hyperlink ref="F792" r:id="rId52" display="http://br01.webdms.sika.com/fileshow.do?documentID=49"/>
    <hyperlink ref="F779" r:id="rId53" display="http://br01.webdms.sika.com/fileshow.do?documentID=49"/>
    <hyperlink ref="H640" r:id="rId54" display="http://www.gessotrevo.com.br/gesso_cola.php"/>
    <hyperlink ref="F656" r:id="rId55" display="http://br01.webdms.sika.com/fileshow.do?documentID=49"/>
    <hyperlink ref="F643" r:id="rId56" display="http://br01.webdms.sika.com/fileshow.do?documentID=49"/>
    <hyperlink ref="H517" r:id="rId57" display="http://www.gessotrevo.com.br/gesso_cola.php"/>
    <hyperlink ref="F854" r:id="rId58" display="http://br01.webdms.sika.com/fileshow.do?documentID=49"/>
    <hyperlink ref="F841" r:id="rId59" display="http://br01.webdms.sika.com/fileshow.do?documentID=49"/>
    <hyperlink ref="H702" r:id="rId60" display="http://www.gessotrevo.com.br/gesso_cola.php"/>
    <hyperlink ref="F662" r:id="rId61" display="http://br01.webdms.sika.com/fileshow.do?documentID=49"/>
    <hyperlink ref="F649" r:id="rId62" display="http://br01.webdms.sika.com/fileshow.do?documentID=49"/>
    <hyperlink ref="H523" r:id="rId63" display="http://www.gessotrevo.com.br/gesso_cola.php"/>
    <hyperlink ref="F860" r:id="rId64" display="http://br01.webdms.sika.com/fileshow.do?documentID=49"/>
    <hyperlink ref="F847" r:id="rId65" display="http://br01.webdms.sika.com/fileshow.do?documentID=49"/>
    <hyperlink ref="H708" r:id="rId66" display="http://www.gessotrevo.com.br/gesso_cola.php"/>
    <hyperlink ref="F537" r:id="rId67" display="http://br01.webdms.sika.com/fileshow.do?documentID=49"/>
    <hyperlink ref="F524" r:id="rId68" display="http://br01.webdms.sika.com/fileshow.do?documentID=49"/>
    <hyperlink ref="H398" r:id="rId69" display="http://www.gessotrevo.com.br/gesso_cola.php"/>
    <hyperlink ref="F735" r:id="rId70" display="http://br01.webdms.sika.com/fileshow.do?documentID=49"/>
    <hyperlink ref="F722" r:id="rId71" display="http://br01.webdms.sika.com/fileshow.do?documentID=49"/>
    <hyperlink ref="H583" r:id="rId72" display="http://www.gessotrevo.com.br/gesso_cola.php"/>
    <hyperlink ref="F523" r:id="rId73" display="http://br01.webdms.sika.com/fileshow.do?documentID=49"/>
    <hyperlink ref="H397" r:id="rId74" display="http://www.gessotrevo.com.br/gesso_cola.php"/>
    <hyperlink ref="F721" r:id="rId75" display="http://br01.webdms.sika.com/fileshow.do?documentID=49"/>
    <hyperlink ref="H582" r:id="rId76" display="http://www.gessotrevo.com.br/gesso_cola.php"/>
    <hyperlink ref="F442" r:id="rId77" display="http://br01.webdms.sika.com/fileshow.do?documentID=49"/>
    <hyperlink ref="F429" r:id="rId78" display="http://br01.webdms.sika.com/fileshow.do?documentID=49"/>
    <hyperlink ref="F640" r:id="rId79" display="http://br01.webdms.sika.com/fileshow.do?documentID=49"/>
    <hyperlink ref="F627" r:id="rId80" display="http://br01.webdms.sika.com/fileshow.do?documentID=49"/>
    <hyperlink ref="H488" r:id="rId81" display="http://www.gessotrevo.com.br/gesso_cola.php"/>
    <hyperlink ref="F435" r:id="rId82" display="http://br01.webdms.sika.com/fileshow.do?documentID=49"/>
    <hyperlink ref="F422" r:id="rId83" display="http://br01.webdms.sika.com/fileshow.do?documentID=49"/>
    <hyperlink ref="F633" r:id="rId84" display="http://br01.webdms.sika.com/fileshow.do?documentID=49"/>
    <hyperlink ref="F620" r:id="rId85" display="http://br01.webdms.sika.com/fileshow.do?documentID=49"/>
    <hyperlink ref="H481" r:id="rId86" display="http://www.gessotrevo.com.br/gesso_cola.php"/>
    <hyperlink ref="F111" r:id="rId87" display="http://br01.webdms.sika.com/fileshow.do?documentID=49"/>
  </hyperlink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88"/>
  <headerFooter alignWithMargins="0">
    <oddFooter>&amp;L&amp;8&amp;Z&amp;F&amp;R&amp;8Página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202"/>
  <sheetViews>
    <sheetView showGridLines="0" view="pageBreakPreview" zoomScaleNormal="145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15.7109375" style="177" customWidth="1"/>
    <col min="2" max="2" width="59.7109375" style="177" customWidth="1"/>
    <col min="3" max="3" width="10.7109375" style="176" customWidth="1"/>
    <col min="4" max="4" width="11.7109375" style="178" customWidth="1"/>
    <col min="5" max="16384" width="9.140625" style="166" customWidth="1"/>
  </cols>
  <sheetData>
    <row r="1" spans="1:6" ht="18.75" customHeight="1">
      <c r="A1" s="421" t="s">
        <v>183</v>
      </c>
      <c r="B1" s="422"/>
      <c r="C1" s="381"/>
      <c r="D1" s="382"/>
      <c r="E1" s="371" t="s">
        <v>67</v>
      </c>
      <c r="F1" s="348"/>
    </row>
    <row r="2" spans="1:6" ht="12.75">
      <c r="A2" s="65" t="str">
        <f>'Orçamento Sintético'!A2</f>
        <v>Objeto: Recuperação de reservatórios e implantação de sistema de aproveitamento de água pluvial</v>
      </c>
      <c r="B2" s="383"/>
      <c r="C2" s="384"/>
      <c r="D2" s="385"/>
      <c r="E2" s="349">
        <f>'Orçamento Sintético'!F2</f>
        <v>1</v>
      </c>
      <c r="F2" s="350"/>
    </row>
    <row r="3" spans="1:6" ht="12.75">
      <c r="A3" s="70" t="str">
        <f>'Orçamento Sintético'!A3</f>
        <v>Local: Quadra 1, Lotes 860, 880 e 900, Setor Industrial Leste, Gama-DF</v>
      </c>
      <c r="B3" s="386"/>
      <c r="C3" s="387"/>
      <c r="D3" s="388"/>
      <c r="E3" s="349">
        <f>'Orçamento Sintético'!F3</f>
        <v>2</v>
      </c>
      <c r="F3" s="350"/>
    </row>
    <row r="4" spans="1:6" ht="12.75" customHeight="1">
      <c r="A4" s="374" t="s">
        <v>68</v>
      </c>
      <c r="B4" s="376" t="s">
        <v>69</v>
      </c>
      <c r="C4" s="374" t="s">
        <v>70</v>
      </c>
      <c r="D4" s="389"/>
      <c r="E4" s="371" t="s">
        <v>71</v>
      </c>
      <c r="F4" s="377"/>
    </row>
    <row r="5" spans="1:6" ht="12.75" customHeight="1">
      <c r="A5" s="390">
        <f>'Orçamento Sintético'!A5:B5</f>
        <v>3</v>
      </c>
      <c r="B5" s="378">
        <f>'Orçamento Sintético'!C5</f>
        <v>4</v>
      </c>
      <c r="C5" s="416">
        <f>'Orçamento Sintético'!D5</f>
        <v>5</v>
      </c>
      <c r="D5" s="417"/>
      <c r="E5" s="418">
        <f>'Orçamento Sintético'!F5</f>
        <v>6</v>
      </c>
      <c r="F5" s="392"/>
    </row>
    <row r="6" spans="1:6" ht="12.75" customHeight="1">
      <c r="A6" s="374" t="s">
        <v>184</v>
      </c>
      <c r="B6" s="376" t="s">
        <v>72</v>
      </c>
      <c r="C6" s="374" t="s">
        <v>73</v>
      </c>
      <c r="D6" s="375"/>
      <c r="E6" s="371" t="s">
        <v>74</v>
      </c>
      <c r="F6" s="377"/>
    </row>
    <row r="7" spans="1:6" ht="12.75" customHeight="1">
      <c r="A7" s="391">
        <f>'Orçamento Sintético'!A7:B7</f>
        <v>7</v>
      </c>
      <c r="B7" s="378">
        <f>'Orçamento Sintético'!C7</f>
        <v>8</v>
      </c>
      <c r="C7" s="416">
        <f>'Orçamento Sintético'!D7</f>
        <v>9</v>
      </c>
      <c r="D7" s="417"/>
      <c r="E7" s="418">
        <f>'Orçamento Sintético'!F7</f>
        <v>10</v>
      </c>
      <c r="F7" s="392"/>
    </row>
    <row r="8" spans="1:6" s="167" customFormat="1" ht="6.75">
      <c r="A8" s="393"/>
      <c r="B8" s="394"/>
      <c r="C8" s="395"/>
      <c r="D8" s="396"/>
      <c r="E8" s="397"/>
      <c r="F8" s="397"/>
    </row>
    <row r="9" spans="1:6" s="165" customFormat="1" ht="22.5" customHeight="1">
      <c r="A9" s="168" t="s">
        <v>237</v>
      </c>
      <c r="B9" s="169" t="s">
        <v>239</v>
      </c>
      <c r="C9" s="169" t="s">
        <v>240</v>
      </c>
      <c r="D9" s="170" t="s">
        <v>185</v>
      </c>
      <c r="E9" s="170" t="s">
        <v>31</v>
      </c>
      <c r="F9" s="170" t="s">
        <v>32</v>
      </c>
    </row>
    <row r="10" spans="1:6" s="165" customFormat="1" ht="11.25">
      <c r="A10" s="335"/>
      <c r="B10" s="171" t="s">
        <v>186</v>
      </c>
      <c r="C10" s="171"/>
      <c r="D10" s="336"/>
      <c r="E10" s="398"/>
      <c r="F10" s="398"/>
    </row>
    <row r="11" spans="1:6" ht="12.75">
      <c r="A11" s="337"/>
      <c r="B11" s="172" t="s">
        <v>187</v>
      </c>
      <c r="C11" s="271"/>
      <c r="D11" s="338"/>
      <c r="E11" s="271"/>
      <c r="F11" s="338"/>
    </row>
    <row r="12" spans="1:6" s="261" customFormat="1" ht="11.25">
      <c r="A12" s="339">
        <v>88248</v>
      </c>
      <c r="B12" s="262" t="s">
        <v>189</v>
      </c>
      <c r="C12" s="173" t="s">
        <v>188</v>
      </c>
      <c r="D12" s="307">
        <v>16.42</v>
      </c>
      <c r="E12" s="399" t="s">
        <v>33</v>
      </c>
      <c r="F12" s="399" t="s">
        <v>33</v>
      </c>
    </row>
    <row r="13" spans="1:6" s="261" customFormat="1" ht="11.25">
      <c r="A13" s="339">
        <v>88267</v>
      </c>
      <c r="B13" s="262" t="s">
        <v>191</v>
      </c>
      <c r="C13" s="173" t="s">
        <v>188</v>
      </c>
      <c r="D13" s="307">
        <v>21.06</v>
      </c>
      <c r="E13" s="399" t="s">
        <v>33</v>
      </c>
      <c r="F13" s="399" t="s">
        <v>33</v>
      </c>
    </row>
    <row r="14" spans="1:6" s="261" customFormat="1" ht="11.25">
      <c r="A14" s="339">
        <v>88277</v>
      </c>
      <c r="B14" s="262" t="s">
        <v>547</v>
      </c>
      <c r="C14" s="173" t="s">
        <v>188</v>
      </c>
      <c r="D14" s="307">
        <v>16.94</v>
      </c>
      <c r="E14" s="399" t="s">
        <v>33</v>
      </c>
      <c r="F14" s="399" t="s">
        <v>33</v>
      </c>
    </row>
    <row r="15" spans="1:6" s="174" customFormat="1" ht="11.25">
      <c r="A15" s="339">
        <v>88270</v>
      </c>
      <c r="B15" s="262" t="s">
        <v>192</v>
      </c>
      <c r="C15" s="173" t="s">
        <v>188</v>
      </c>
      <c r="D15" s="307">
        <v>21.47</v>
      </c>
      <c r="E15" s="399" t="s">
        <v>33</v>
      </c>
      <c r="F15" s="399" t="s">
        <v>33</v>
      </c>
    </row>
    <row r="16" spans="1:6" s="261" customFormat="1" ht="11.25">
      <c r="A16" s="339">
        <v>88316</v>
      </c>
      <c r="B16" s="262" t="s">
        <v>193</v>
      </c>
      <c r="C16" s="173" t="s">
        <v>188</v>
      </c>
      <c r="D16" s="307">
        <v>15.79</v>
      </c>
      <c r="E16" s="399" t="s">
        <v>33</v>
      </c>
      <c r="F16" s="399" t="s">
        <v>33</v>
      </c>
    </row>
    <row r="17" spans="1:6" s="302" customFormat="1" ht="11.25">
      <c r="A17" s="339">
        <v>88264</v>
      </c>
      <c r="B17" s="262" t="s">
        <v>373</v>
      </c>
      <c r="C17" s="173" t="s">
        <v>188</v>
      </c>
      <c r="D17" s="307">
        <v>21.72</v>
      </c>
      <c r="E17" s="399" t="s">
        <v>33</v>
      </c>
      <c r="F17" s="399" t="s">
        <v>33</v>
      </c>
    </row>
    <row r="18" spans="1:6" s="302" customFormat="1" ht="11.25">
      <c r="A18" s="339">
        <v>88247</v>
      </c>
      <c r="B18" s="262" t="s">
        <v>372</v>
      </c>
      <c r="C18" s="173" t="s">
        <v>188</v>
      </c>
      <c r="D18" s="307">
        <v>16.91</v>
      </c>
      <c r="E18" s="399" t="s">
        <v>33</v>
      </c>
      <c r="F18" s="399" t="s">
        <v>33</v>
      </c>
    </row>
    <row r="19" spans="1:6" s="174" customFormat="1" ht="11.25">
      <c r="A19" s="339">
        <v>93572</v>
      </c>
      <c r="B19" s="262" t="s">
        <v>436</v>
      </c>
      <c r="C19" s="173" t="s">
        <v>247</v>
      </c>
      <c r="D19" s="307">
        <v>3795.09</v>
      </c>
      <c r="E19" s="399" t="s">
        <v>33</v>
      </c>
      <c r="F19" s="399" t="s">
        <v>33</v>
      </c>
    </row>
    <row r="20" spans="1:6" s="174" customFormat="1" ht="11.25">
      <c r="A20" s="339">
        <v>90778</v>
      </c>
      <c r="B20" s="262" t="s">
        <v>425</v>
      </c>
      <c r="C20" s="173" t="s">
        <v>188</v>
      </c>
      <c r="D20" s="307">
        <v>96</v>
      </c>
      <c r="E20" s="399" t="s">
        <v>33</v>
      </c>
      <c r="F20" s="399" t="s">
        <v>33</v>
      </c>
    </row>
    <row r="21" spans="1:6" s="174" customFormat="1" ht="11.25">
      <c r="A21" s="339">
        <v>88262</v>
      </c>
      <c r="B21" s="262" t="s">
        <v>429</v>
      </c>
      <c r="C21" s="173" t="s">
        <v>188</v>
      </c>
      <c r="D21" s="307">
        <v>21.31</v>
      </c>
      <c r="E21" s="399" t="s">
        <v>33</v>
      </c>
      <c r="F21" s="399" t="s">
        <v>33</v>
      </c>
    </row>
    <row r="22" spans="1:6" s="174" customFormat="1" ht="11.25">
      <c r="A22" s="339">
        <v>88243</v>
      </c>
      <c r="B22" s="262" t="s">
        <v>432</v>
      </c>
      <c r="C22" s="173" t="s">
        <v>188</v>
      </c>
      <c r="D22" s="307">
        <v>18.78</v>
      </c>
      <c r="E22" s="399" t="s">
        <v>33</v>
      </c>
      <c r="F22" s="399" t="s">
        <v>33</v>
      </c>
    </row>
    <row r="23" spans="1:6" s="174" customFormat="1" ht="11.25">
      <c r="A23" s="339">
        <v>88309</v>
      </c>
      <c r="B23" s="262" t="s">
        <v>479</v>
      </c>
      <c r="C23" s="173" t="s">
        <v>188</v>
      </c>
      <c r="D23" s="307">
        <v>21.47</v>
      </c>
      <c r="E23" s="399" t="s">
        <v>33</v>
      </c>
      <c r="F23" s="399" t="s">
        <v>33</v>
      </c>
    </row>
    <row r="24" spans="1:6" s="174" customFormat="1" ht="11.25">
      <c r="A24" s="339">
        <v>88245</v>
      </c>
      <c r="B24" s="262" t="s">
        <v>481</v>
      </c>
      <c r="C24" s="173" t="s">
        <v>188</v>
      </c>
      <c r="D24" s="307">
        <v>21.35</v>
      </c>
      <c r="E24" s="399" t="s">
        <v>33</v>
      </c>
      <c r="F24" s="399" t="s">
        <v>33</v>
      </c>
    </row>
    <row r="25" spans="1:6" s="174" customFormat="1" ht="11.25">
      <c r="A25" s="339">
        <v>88310</v>
      </c>
      <c r="B25" s="262" t="s">
        <v>157</v>
      </c>
      <c r="C25" s="173" t="s">
        <v>188</v>
      </c>
      <c r="D25" s="307">
        <v>22.58</v>
      </c>
      <c r="E25" s="399" t="s">
        <v>33</v>
      </c>
      <c r="F25" s="399" t="s">
        <v>33</v>
      </c>
    </row>
    <row r="26" spans="1:6" s="174" customFormat="1" ht="11.25">
      <c r="A26" s="339">
        <v>88317</v>
      </c>
      <c r="B26" s="262" t="s">
        <v>108</v>
      </c>
      <c r="C26" s="173" t="s">
        <v>188</v>
      </c>
      <c r="D26" s="307">
        <v>22.12</v>
      </c>
      <c r="E26" s="399" t="s">
        <v>33</v>
      </c>
      <c r="F26" s="399" t="s">
        <v>33</v>
      </c>
    </row>
    <row r="27" spans="1:6" s="174" customFormat="1" ht="11.25">
      <c r="A27" s="339">
        <v>88315</v>
      </c>
      <c r="B27" s="262" t="s">
        <v>356</v>
      </c>
      <c r="C27" s="173" t="s">
        <v>188</v>
      </c>
      <c r="D27" s="307">
        <v>21.35</v>
      </c>
      <c r="E27" s="399" t="s">
        <v>33</v>
      </c>
      <c r="F27" s="399" t="s">
        <v>33</v>
      </c>
    </row>
    <row r="28" spans="1:6" s="174" customFormat="1" ht="11.25">
      <c r="A28" s="339">
        <v>88251</v>
      </c>
      <c r="B28" s="262" t="s">
        <v>114</v>
      </c>
      <c r="C28" s="173" t="s">
        <v>188</v>
      </c>
      <c r="D28" s="307">
        <v>17.35</v>
      </c>
      <c r="E28" s="399" t="s">
        <v>33</v>
      </c>
      <c r="F28" s="399" t="s">
        <v>33</v>
      </c>
    </row>
    <row r="29" spans="1:6" s="174" customFormat="1" ht="11.25">
      <c r="A29" s="339">
        <v>88377</v>
      </c>
      <c r="B29" s="262" t="s">
        <v>578</v>
      </c>
      <c r="C29" s="173" t="s">
        <v>188</v>
      </c>
      <c r="D29" s="307">
        <v>16.01</v>
      </c>
      <c r="E29" s="399" t="s">
        <v>33</v>
      </c>
      <c r="F29" s="399" t="s">
        <v>33</v>
      </c>
    </row>
    <row r="30" spans="1:6" s="174" customFormat="1" ht="12.75">
      <c r="A30" s="340"/>
      <c r="B30" s="185" t="s">
        <v>194</v>
      </c>
      <c r="C30" s="175"/>
      <c r="D30" s="341"/>
      <c r="E30" s="271"/>
      <c r="F30" s="338"/>
    </row>
    <row r="31" spans="1:6" s="165" customFormat="1" ht="11.25">
      <c r="A31" s="339">
        <v>367</v>
      </c>
      <c r="B31" s="262" t="s">
        <v>473</v>
      </c>
      <c r="C31" s="173" t="s">
        <v>250</v>
      </c>
      <c r="D31" s="307">
        <v>116.35</v>
      </c>
      <c r="E31" s="399" t="s">
        <v>33</v>
      </c>
      <c r="F31" s="399" t="s">
        <v>33</v>
      </c>
    </row>
    <row r="32" spans="1:6" s="165" customFormat="1" ht="11.25">
      <c r="A32" s="339">
        <v>370</v>
      </c>
      <c r="B32" s="262" t="s">
        <v>574</v>
      </c>
      <c r="C32" s="173" t="s">
        <v>250</v>
      </c>
      <c r="D32" s="307">
        <v>89.82</v>
      </c>
      <c r="E32" s="399" t="s">
        <v>33</v>
      </c>
      <c r="F32" s="399" t="s">
        <v>33</v>
      </c>
    </row>
    <row r="33" spans="1:6" s="165" customFormat="1" ht="22.5">
      <c r="A33" s="339">
        <v>511</v>
      </c>
      <c r="B33" s="262" t="s">
        <v>175</v>
      </c>
      <c r="C33" s="173" t="s">
        <v>174</v>
      </c>
      <c r="D33" s="307">
        <v>12.61</v>
      </c>
      <c r="E33" s="271"/>
      <c r="F33" s="338"/>
    </row>
    <row r="34" spans="1:6" s="165" customFormat="1" ht="12.75">
      <c r="A34" s="339">
        <v>815</v>
      </c>
      <c r="B34" s="262" t="s">
        <v>508</v>
      </c>
      <c r="C34" s="173" t="s">
        <v>251</v>
      </c>
      <c r="D34" s="307">
        <v>7.76</v>
      </c>
      <c r="E34" s="271"/>
      <c r="F34" s="338"/>
    </row>
    <row r="35" spans="1:6" s="165" customFormat="1" ht="12.75">
      <c r="A35" s="339">
        <v>816</v>
      </c>
      <c r="B35" s="262" t="s">
        <v>6</v>
      </c>
      <c r="C35" s="173" t="s">
        <v>251</v>
      </c>
      <c r="D35" s="307">
        <v>5.94</v>
      </c>
      <c r="E35" s="271"/>
      <c r="F35" s="338"/>
    </row>
    <row r="36" spans="1:6" s="165" customFormat="1" ht="12.75">
      <c r="A36" s="339">
        <v>818</v>
      </c>
      <c r="B36" s="262" t="s">
        <v>8</v>
      </c>
      <c r="C36" s="173" t="s">
        <v>251</v>
      </c>
      <c r="D36" s="307">
        <v>3.57</v>
      </c>
      <c r="E36" s="271"/>
      <c r="F36" s="338"/>
    </row>
    <row r="37" spans="1:6" s="165" customFormat="1" ht="22.5">
      <c r="A37" s="339">
        <v>831</v>
      </c>
      <c r="B37" s="262" t="s">
        <v>9</v>
      </c>
      <c r="C37" s="173" t="s">
        <v>251</v>
      </c>
      <c r="D37" s="307">
        <v>49.23</v>
      </c>
      <c r="E37" s="271"/>
      <c r="F37" s="338"/>
    </row>
    <row r="38" spans="1:6" s="165" customFormat="1" ht="12.75">
      <c r="A38" s="339">
        <v>1379</v>
      </c>
      <c r="B38" s="262" t="s">
        <v>573</v>
      </c>
      <c r="C38" s="173" t="s">
        <v>195</v>
      </c>
      <c r="D38" s="307">
        <v>0.41</v>
      </c>
      <c r="E38" s="271"/>
      <c r="F38" s="338"/>
    </row>
    <row r="39" spans="1:6" s="165" customFormat="1" ht="22.5">
      <c r="A39" s="339">
        <v>2433</v>
      </c>
      <c r="B39" s="262" t="s">
        <v>113</v>
      </c>
      <c r="C39" s="173" t="s">
        <v>251</v>
      </c>
      <c r="D39" s="307">
        <v>6.45</v>
      </c>
      <c r="E39" s="399" t="s">
        <v>33</v>
      </c>
      <c r="F39" s="399" t="s">
        <v>33</v>
      </c>
    </row>
    <row r="40" spans="1:6" s="165" customFormat="1" ht="11.25">
      <c r="A40" s="339">
        <v>3768</v>
      </c>
      <c r="B40" s="262" t="s">
        <v>30</v>
      </c>
      <c r="C40" s="173" t="s">
        <v>251</v>
      </c>
      <c r="D40" s="307">
        <v>2.93</v>
      </c>
      <c r="E40" s="399" t="s">
        <v>33</v>
      </c>
      <c r="F40" s="399" t="s">
        <v>33</v>
      </c>
    </row>
    <row r="41" spans="1:6" s="165" customFormat="1" ht="22.5">
      <c r="A41" s="339">
        <v>4015</v>
      </c>
      <c r="B41" s="262" t="s">
        <v>431</v>
      </c>
      <c r="C41" s="173" t="s">
        <v>248</v>
      </c>
      <c r="D41" s="307">
        <v>42.61</v>
      </c>
      <c r="E41" s="271"/>
      <c r="F41" s="338"/>
    </row>
    <row r="42" spans="1:6" s="165" customFormat="1" ht="22.5">
      <c r="A42" s="339">
        <v>4019</v>
      </c>
      <c r="B42" s="262" t="s">
        <v>415</v>
      </c>
      <c r="C42" s="173" t="s">
        <v>248</v>
      </c>
      <c r="D42" s="307">
        <v>7.34</v>
      </c>
      <c r="E42" s="271"/>
      <c r="F42" s="338"/>
    </row>
    <row r="43" spans="1:6" s="165" customFormat="1" ht="11.25">
      <c r="A43" s="339">
        <v>4226</v>
      </c>
      <c r="B43" s="262" t="s">
        <v>430</v>
      </c>
      <c r="C43" s="173" t="s">
        <v>195</v>
      </c>
      <c r="D43" s="307">
        <v>5.65</v>
      </c>
      <c r="E43" s="399" t="s">
        <v>33</v>
      </c>
      <c r="F43" s="399" t="s">
        <v>33</v>
      </c>
    </row>
    <row r="44" spans="1:6" s="165" customFormat="1" ht="22.5">
      <c r="A44" s="339">
        <v>4415</v>
      </c>
      <c r="B44" s="262" t="s">
        <v>428</v>
      </c>
      <c r="C44" s="173" t="s">
        <v>249</v>
      </c>
      <c r="D44" s="307">
        <v>4.5</v>
      </c>
      <c r="E44" s="399" t="s">
        <v>33</v>
      </c>
      <c r="F44" s="399" t="s">
        <v>33</v>
      </c>
    </row>
    <row r="45" spans="1:6" s="165" customFormat="1" ht="11.25">
      <c r="A45" s="339">
        <v>4721</v>
      </c>
      <c r="B45" s="262" t="s">
        <v>575</v>
      </c>
      <c r="C45" s="173" t="s">
        <v>250</v>
      </c>
      <c r="D45" s="307">
        <v>80.57</v>
      </c>
      <c r="E45" s="399" t="s">
        <v>33</v>
      </c>
      <c r="F45" s="399" t="s">
        <v>33</v>
      </c>
    </row>
    <row r="46" spans="1:6" s="165" customFormat="1" ht="11.25">
      <c r="A46" s="339">
        <v>4777</v>
      </c>
      <c r="B46" s="262" t="s">
        <v>112</v>
      </c>
      <c r="C46" s="173" t="s">
        <v>195</v>
      </c>
      <c r="D46" s="307">
        <v>4.56</v>
      </c>
      <c r="E46" s="399" t="s">
        <v>33</v>
      </c>
      <c r="F46" s="399" t="s">
        <v>33</v>
      </c>
    </row>
    <row r="47" spans="1:6" s="165" customFormat="1" ht="12.75">
      <c r="A47" s="339">
        <v>5318</v>
      </c>
      <c r="B47" s="262" t="s">
        <v>90</v>
      </c>
      <c r="C47" s="173" t="s">
        <v>174</v>
      </c>
      <c r="D47" s="307">
        <v>10.72</v>
      </c>
      <c r="E47" s="271"/>
      <c r="F47" s="338"/>
    </row>
    <row r="48" spans="1:6" s="165" customFormat="1" ht="12.75">
      <c r="A48" s="339">
        <v>7133</v>
      </c>
      <c r="B48" s="262" t="s">
        <v>7</v>
      </c>
      <c r="C48" s="173" t="s">
        <v>251</v>
      </c>
      <c r="D48" s="307">
        <v>50.87</v>
      </c>
      <c r="E48" s="271"/>
      <c r="F48" s="338"/>
    </row>
    <row r="49" spans="1:6" s="165" customFormat="1" ht="12.75">
      <c r="A49" s="339">
        <v>7143</v>
      </c>
      <c r="B49" s="262" t="s">
        <v>509</v>
      </c>
      <c r="C49" s="173" t="s">
        <v>251</v>
      </c>
      <c r="D49" s="307">
        <v>19.86</v>
      </c>
      <c r="E49" s="271"/>
      <c r="F49" s="338"/>
    </row>
    <row r="50" spans="1:6" s="165" customFormat="1" ht="12.75">
      <c r="A50" s="339">
        <v>7146</v>
      </c>
      <c r="B50" s="262" t="s">
        <v>10</v>
      </c>
      <c r="C50" s="173" t="s">
        <v>251</v>
      </c>
      <c r="D50" s="307">
        <v>110.52</v>
      </c>
      <c r="E50" s="271"/>
      <c r="F50" s="338"/>
    </row>
    <row r="51" spans="1:6" s="165" customFormat="1" ht="22.5">
      <c r="A51" s="339">
        <v>7156</v>
      </c>
      <c r="B51" s="262" t="s">
        <v>198</v>
      </c>
      <c r="C51" s="173" t="s">
        <v>248</v>
      </c>
      <c r="D51" s="307">
        <v>19.07</v>
      </c>
      <c r="E51" s="399" t="s">
        <v>33</v>
      </c>
      <c r="F51" s="399" t="s">
        <v>33</v>
      </c>
    </row>
    <row r="52" spans="1:6" s="165" customFormat="1" ht="22.5">
      <c r="A52" s="339">
        <v>7158</v>
      </c>
      <c r="B52" s="262" t="s">
        <v>107</v>
      </c>
      <c r="C52" s="173" t="s">
        <v>248</v>
      </c>
      <c r="D52" s="307">
        <v>20.81</v>
      </c>
      <c r="E52" s="399" t="s">
        <v>33</v>
      </c>
      <c r="F52" s="399" t="s">
        <v>33</v>
      </c>
    </row>
    <row r="53" spans="1:6" s="165" customFormat="1" ht="11.25">
      <c r="A53" s="339">
        <v>7292</v>
      </c>
      <c r="B53" s="262" t="s">
        <v>91</v>
      </c>
      <c r="C53" s="173" t="s">
        <v>174</v>
      </c>
      <c r="D53" s="307">
        <v>23.85</v>
      </c>
      <c r="E53" s="399" t="s">
        <v>33</v>
      </c>
      <c r="F53" s="399" t="s">
        <v>33</v>
      </c>
    </row>
    <row r="54" spans="1:6" s="165" customFormat="1" ht="22.5">
      <c r="A54" s="339">
        <v>7750</v>
      </c>
      <c r="B54" s="262" t="s">
        <v>15</v>
      </c>
      <c r="C54" s="173" t="s">
        <v>249</v>
      </c>
      <c r="D54" s="307">
        <v>192.28</v>
      </c>
      <c r="E54" s="399" t="s">
        <v>33</v>
      </c>
      <c r="F54" s="399" t="s">
        <v>33</v>
      </c>
    </row>
    <row r="55" spans="1:6" s="165" customFormat="1" ht="12.75">
      <c r="A55" s="339">
        <v>10966</v>
      </c>
      <c r="B55" s="262" t="s">
        <v>110</v>
      </c>
      <c r="C55" s="173" t="s">
        <v>195</v>
      </c>
      <c r="D55" s="307">
        <v>6.16</v>
      </c>
      <c r="E55" s="271"/>
      <c r="F55" s="338"/>
    </row>
    <row r="56" spans="1:6" s="165" customFormat="1" ht="12.75">
      <c r="A56" s="339">
        <v>12776</v>
      </c>
      <c r="B56" s="262" t="s">
        <v>93</v>
      </c>
      <c r="C56" s="173" t="s">
        <v>251</v>
      </c>
      <c r="D56" s="307">
        <v>1694.7</v>
      </c>
      <c r="E56" s="271"/>
      <c r="F56" s="338"/>
    </row>
    <row r="57" spans="1:6" s="165" customFormat="1" ht="11.25">
      <c r="A57" s="339">
        <v>20080</v>
      </c>
      <c r="B57" s="262" t="s">
        <v>506</v>
      </c>
      <c r="C57" s="173" t="s">
        <v>251</v>
      </c>
      <c r="D57" s="307">
        <v>17.72</v>
      </c>
      <c r="E57" s="399" t="s">
        <v>33</v>
      </c>
      <c r="F57" s="399" t="s">
        <v>33</v>
      </c>
    </row>
    <row r="58" spans="1:6" s="165" customFormat="1" ht="11.25">
      <c r="A58" s="339">
        <v>20083</v>
      </c>
      <c r="B58" s="262" t="s">
        <v>507</v>
      </c>
      <c r="C58" s="173" t="s">
        <v>251</v>
      </c>
      <c r="D58" s="307">
        <v>48.48</v>
      </c>
      <c r="E58" s="399" t="s">
        <v>33</v>
      </c>
      <c r="F58" s="399" t="s">
        <v>33</v>
      </c>
    </row>
    <row r="59" spans="1:6" s="165" customFormat="1" ht="12.75">
      <c r="A59" s="339">
        <v>20089</v>
      </c>
      <c r="B59" s="262" t="s">
        <v>11</v>
      </c>
      <c r="C59" s="173" t="s">
        <v>251</v>
      </c>
      <c r="D59" s="307">
        <v>44.08</v>
      </c>
      <c r="E59" s="271"/>
      <c r="F59" s="338"/>
    </row>
    <row r="60" spans="1:6" s="165" customFormat="1" ht="11.25">
      <c r="A60" s="339">
        <v>21127</v>
      </c>
      <c r="B60" s="262" t="s">
        <v>407</v>
      </c>
      <c r="C60" s="173" t="s">
        <v>251</v>
      </c>
      <c r="D60" s="307">
        <v>4.14</v>
      </c>
      <c r="E60" s="399" t="s">
        <v>33</v>
      </c>
      <c r="F60" s="399" t="s">
        <v>33</v>
      </c>
    </row>
    <row r="61" spans="1:6" s="165" customFormat="1" ht="22.5">
      <c r="A61" s="339">
        <v>21141</v>
      </c>
      <c r="B61" s="262" t="s">
        <v>572</v>
      </c>
      <c r="C61" s="173" t="s">
        <v>248</v>
      </c>
      <c r="D61" s="307">
        <v>9.48</v>
      </c>
      <c r="E61" s="399" t="s">
        <v>33</v>
      </c>
      <c r="F61" s="399" t="s">
        <v>33</v>
      </c>
    </row>
    <row r="62" spans="1:6" s="165" customFormat="1" ht="11.25">
      <c r="A62" s="339">
        <v>26022</v>
      </c>
      <c r="B62" s="262" t="s">
        <v>594</v>
      </c>
      <c r="C62" s="173" t="s">
        <v>251</v>
      </c>
      <c r="D62" s="307">
        <v>170.4</v>
      </c>
      <c r="E62" s="399" t="s">
        <v>33</v>
      </c>
      <c r="F62" s="399" t="s">
        <v>33</v>
      </c>
    </row>
    <row r="63" spans="1:6" s="165" customFormat="1" ht="12.75">
      <c r="A63" s="339">
        <v>34636</v>
      </c>
      <c r="B63" s="262" t="s">
        <v>645</v>
      </c>
      <c r="C63" s="173" t="s">
        <v>251</v>
      </c>
      <c r="D63" s="307">
        <v>335.45</v>
      </c>
      <c r="E63" s="271"/>
      <c r="F63" s="338"/>
    </row>
    <row r="64" spans="1:6" s="165" customFormat="1" ht="11.25">
      <c r="A64" s="339">
        <v>38383</v>
      </c>
      <c r="B64" s="262" t="s">
        <v>92</v>
      </c>
      <c r="C64" s="173" t="s">
        <v>251</v>
      </c>
      <c r="D64" s="307">
        <v>1.65</v>
      </c>
      <c r="E64" s="399" t="s">
        <v>33</v>
      </c>
      <c r="F64" s="399" t="s">
        <v>33</v>
      </c>
    </row>
    <row r="65" spans="1:6" s="174" customFormat="1" ht="22.5">
      <c r="A65" s="339">
        <v>39253</v>
      </c>
      <c r="B65" s="262" t="s">
        <v>445</v>
      </c>
      <c r="C65" s="173" t="s">
        <v>249</v>
      </c>
      <c r="D65" s="307">
        <v>8.49</v>
      </c>
      <c r="E65" s="271"/>
      <c r="F65" s="338"/>
    </row>
    <row r="66" spans="1:6" s="174" customFormat="1" ht="22.5">
      <c r="A66" s="339">
        <v>39255</v>
      </c>
      <c r="B66" s="262" t="s">
        <v>439</v>
      </c>
      <c r="C66" s="173" t="s">
        <v>249</v>
      </c>
      <c r="D66" s="307">
        <v>12.33</v>
      </c>
      <c r="E66" s="271"/>
      <c r="F66" s="338"/>
    </row>
    <row r="67" spans="1:6" s="174" customFormat="1" ht="12.75">
      <c r="A67" s="251"/>
      <c r="B67" s="184" t="s">
        <v>197</v>
      </c>
      <c r="C67" s="173"/>
      <c r="D67" s="307"/>
      <c r="E67" s="271"/>
      <c r="F67" s="338"/>
    </row>
    <row r="68" spans="1:6" s="174" customFormat="1" ht="11.25">
      <c r="A68" s="339">
        <v>5795</v>
      </c>
      <c r="B68" s="262" t="s">
        <v>592</v>
      </c>
      <c r="C68" s="173" t="s">
        <v>205</v>
      </c>
      <c r="D68" s="307">
        <v>19.25</v>
      </c>
      <c r="E68" s="399" t="s">
        <v>33</v>
      </c>
      <c r="F68" s="399" t="s">
        <v>33</v>
      </c>
    </row>
    <row r="69" spans="1:6" s="174" customFormat="1" ht="11.25">
      <c r="A69" s="339">
        <v>5952</v>
      </c>
      <c r="B69" s="262" t="s">
        <v>593</v>
      </c>
      <c r="C69" s="173" t="s">
        <v>206</v>
      </c>
      <c r="D69" s="307">
        <v>18.14</v>
      </c>
      <c r="E69" s="399" t="s">
        <v>33</v>
      </c>
      <c r="F69" s="399" t="s">
        <v>33</v>
      </c>
    </row>
    <row r="70" spans="1:6" s="174" customFormat="1" ht="11.25">
      <c r="A70" s="339">
        <v>40780</v>
      </c>
      <c r="B70" s="262" t="s">
        <v>487</v>
      </c>
      <c r="C70" s="173" t="s">
        <v>248</v>
      </c>
      <c r="D70" s="307">
        <v>9.88</v>
      </c>
      <c r="E70" s="399" t="s">
        <v>33</v>
      </c>
      <c r="F70" s="399" t="s">
        <v>33</v>
      </c>
    </row>
    <row r="71" spans="1:6" s="174" customFormat="1" ht="11.25">
      <c r="A71" s="339">
        <v>72897</v>
      </c>
      <c r="B71" s="262" t="s">
        <v>199</v>
      </c>
      <c r="C71" s="173" t="s">
        <v>250</v>
      </c>
      <c r="D71" s="307">
        <v>19.54</v>
      </c>
      <c r="E71" s="399" t="s">
        <v>33</v>
      </c>
      <c r="F71" s="399" t="s">
        <v>33</v>
      </c>
    </row>
    <row r="72" spans="1:6" s="174" customFormat="1" ht="11.25">
      <c r="A72" s="339">
        <v>73612</v>
      </c>
      <c r="B72" s="262" t="s">
        <v>458</v>
      </c>
      <c r="C72" s="173" t="s">
        <v>251</v>
      </c>
      <c r="D72" s="307">
        <v>325.6</v>
      </c>
      <c r="E72" s="399" t="s">
        <v>33</v>
      </c>
      <c r="F72" s="399" t="s">
        <v>33</v>
      </c>
    </row>
    <row r="73" spans="1:6" s="174" customFormat="1" ht="22.5">
      <c r="A73" s="339">
        <v>83736</v>
      </c>
      <c r="B73" s="262" t="s">
        <v>85</v>
      </c>
      <c r="C73" s="173" t="s">
        <v>248</v>
      </c>
      <c r="D73" s="307">
        <v>179.99</v>
      </c>
      <c r="E73" s="271"/>
      <c r="F73" s="338"/>
    </row>
    <row r="74" spans="1:6" s="174" customFormat="1" ht="22.5">
      <c r="A74" s="339">
        <v>84660</v>
      </c>
      <c r="B74" s="262" t="s">
        <v>382</v>
      </c>
      <c r="C74" s="173" t="s">
        <v>248</v>
      </c>
      <c r="D74" s="307">
        <v>6.14</v>
      </c>
      <c r="E74" s="271"/>
      <c r="F74" s="338"/>
    </row>
    <row r="75" spans="1:6" s="174" customFormat="1" ht="11.25">
      <c r="A75" s="339">
        <v>85423</v>
      </c>
      <c r="B75" s="262" t="s">
        <v>532</v>
      </c>
      <c r="C75" s="173" t="s">
        <v>248</v>
      </c>
      <c r="D75" s="307">
        <v>7.04</v>
      </c>
      <c r="E75" s="399" t="s">
        <v>33</v>
      </c>
      <c r="F75" s="399" t="s">
        <v>33</v>
      </c>
    </row>
    <row r="76" spans="1:6" s="174" customFormat="1" ht="22.5">
      <c r="A76" s="339">
        <v>87745</v>
      </c>
      <c r="B76" s="262" t="s">
        <v>416</v>
      </c>
      <c r="C76" s="173" t="s">
        <v>248</v>
      </c>
      <c r="D76" s="307">
        <v>40.81</v>
      </c>
      <c r="E76" s="399" t="s">
        <v>33</v>
      </c>
      <c r="F76" s="399" t="s">
        <v>33</v>
      </c>
    </row>
    <row r="77" spans="1:6" s="174" customFormat="1" ht="22.5">
      <c r="A77" s="339">
        <v>88488</v>
      </c>
      <c r="B77" s="262" t="s">
        <v>433</v>
      </c>
      <c r="C77" s="173" t="s">
        <v>248</v>
      </c>
      <c r="D77" s="307">
        <v>13.79</v>
      </c>
      <c r="E77" s="271"/>
      <c r="F77" s="338"/>
    </row>
    <row r="78" spans="1:6" s="174" customFormat="1" ht="12.75">
      <c r="A78" s="339">
        <v>88489</v>
      </c>
      <c r="B78" s="262" t="s">
        <v>200</v>
      </c>
      <c r="C78" s="173" t="s">
        <v>248</v>
      </c>
      <c r="D78" s="307">
        <v>12.19</v>
      </c>
      <c r="E78" s="271"/>
      <c r="F78" s="338"/>
    </row>
    <row r="79" spans="1:6" s="174" customFormat="1" ht="12.75">
      <c r="A79" s="339">
        <v>88496</v>
      </c>
      <c r="B79" s="262" t="s">
        <v>399</v>
      </c>
      <c r="C79" s="173" t="s">
        <v>248</v>
      </c>
      <c r="D79" s="307">
        <v>23.04</v>
      </c>
      <c r="E79" s="271"/>
      <c r="F79" s="338"/>
    </row>
    <row r="80" spans="1:6" s="174" customFormat="1" ht="12.75">
      <c r="A80" s="339">
        <v>88497</v>
      </c>
      <c r="B80" s="262" t="s">
        <v>398</v>
      </c>
      <c r="C80" s="173" t="s">
        <v>248</v>
      </c>
      <c r="D80" s="307">
        <v>12.81</v>
      </c>
      <c r="E80" s="271"/>
      <c r="F80" s="338"/>
    </row>
    <row r="81" spans="1:6" s="174" customFormat="1" ht="11.25">
      <c r="A81" s="339">
        <v>88629</v>
      </c>
      <c r="B81" s="262" t="s">
        <v>16</v>
      </c>
      <c r="C81" s="173" t="s">
        <v>250</v>
      </c>
      <c r="D81" s="307">
        <v>418.19</v>
      </c>
      <c r="E81" s="399" t="s">
        <v>33</v>
      </c>
      <c r="F81" s="399" t="s">
        <v>33</v>
      </c>
    </row>
    <row r="82" spans="1:6" s="174" customFormat="1" ht="11.25">
      <c r="A82" s="339">
        <v>88631</v>
      </c>
      <c r="B82" s="262" t="s">
        <v>553</v>
      </c>
      <c r="C82" s="173" t="s">
        <v>250</v>
      </c>
      <c r="D82" s="307">
        <v>391.66</v>
      </c>
      <c r="E82" s="399" t="s">
        <v>33</v>
      </c>
      <c r="F82" s="399" t="s">
        <v>33</v>
      </c>
    </row>
    <row r="83" spans="1:6" s="174" customFormat="1" ht="22.5">
      <c r="A83" s="339">
        <v>89225</v>
      </c>
      <c r="B83" s="262" t="s">
        <v>576</v>
      </c>
      <c r="C83" s="173" t="s">
        <v>205</v>
      </c>
      <c r="D83" s="307">
        <v>3.55</v>
      </c>
      <c r="E83" s="399" t="s">
        <v>33</v>
      </c>
      <c r="F83" s="399" t="s">
        <v>33</v>
      </c>
    </row>
    <row r="84" spans="1:6" s="174" customFormat="1" ht="22.5">
      <c r="A84" s="339">
        <v>89226</v>
      </c>
      <c r="B84" s="262" t="s">
        <v>577</v>
      </c>
      <c r="C84" s="173" t="s">
        <v>206</v>
      </c>
      <c r="D84" s="307">
        <v>1.09</v>
      </c>
      <c r="E84" s="399" t="s">
        <v>33</v>
      </c>
      <c r="F84" s="399" t="s">
        <v>33</v>
      </c>
    </row>
    <row r="85" spans="1:6" s="174" customFormat="1" ht="22.5">
      <c r="A85" s="339">
        <v>89452</v>
      </c>
      <c r="B85" s="262" t="s">
        <v>131</v>
      </c>
      <c r="C85" s="173" t="s">
        <v>249</v>
      </c>
      <c r="D85" s="307">
        <v>36.14</v>
      </c>
      <c r="E85" s="271"/>
      <c r="F85" s="338"/>
    </row>
    <row r="86" spans="1:6" s="174" customFormat="1" ht="33.75">
      <c r="A86" s="339">
        <v>89471</v>
      </c>
      <c r="B86" s="262" t="s">
        <v>605</v>
      </c>
      <c r="C86" s="173" t="s">
        <v>248</v>
      </c>
      <c r="D86" s="307">
        <v>61.35</v>
      </c>
      <c r="E86" s="399" t="s">
        <v>33</v>
      </c>
      <c r="F86" s="399" t="s">
        <v>33</v>
      </c>
    </row>
    <row r="87" spans="1:6" s="174" customFormat="1" ht="22.5">
      <c r="A87" s="339">
        <v>89506</v>
      </c>
      <c r="B87" s="262" t="s">
        <v>137</v>
      </c>
      <c r="C87" s="173" t="s">
        <v>251</v>
      </c>
      <c r="D87" s="307">
        <v>26.47</v>
      </c>
      <c r="E87" s="271"/>
      <c r="F87" s="338"/>
    </row>
    <row r="88" spans="1:6" s="174" customFormat="1" ht="22.5">
      <c r="A88" s="339">
        <v>89523</v>
      </c>
      <c r="B88" s="262" t="s">
        <v>139</v>
      </c>
      <c r="C88" s="173" t="s">
        <v>251</v>
      </c>
      <c r="D88" s="307">
        <v>63.57</v>
      </c>
      <c r="E88" s="271"/>
      <c r="F88" s="338"/>
    </row>
    <row r="89" spans="1:6" s="174" customFormat="1" ht="22.5">
      <c r="A89" s="339">
        <v>89986</v>
      </c>
      <c r="B89" s="262" t="s">
        <v>628</v>
      </c>
      <c r="C89" s="173" t="s">
        <v>251</v>
      </c>
      <c r="D89" s="307">
        <v>58.31</v>
      </c>
      <c r="E89" s="271"/>
      <c r="F89" s="338"/>
    </row>
    <row r="90" spans="1:6" s="174" customFormat="1" ht="22.5">
      <c r="A90" s="339">
        <v>89987</v>
      </c>
      <c r="B90" s="262" t="s">
        <v>627</v>
      </c>
      <c r="C90" s="173" t="s">
        <v>251</v>
      </c>
      <c r="D90" s="307">
        <v>64.47</v>
      </c>
      <c r="E90" s="271"/>
      <c r="F90" s="338"/>
    </row>
    <row r="91" spans="1:6" s="174" customFormat="1" ht="22.5">
      <c r="A91" s="339">
        <v>90280</v>
      </c>
      <c r="B91" s="262" t="s">
        <v>602</v>
      </c>
      <c r="C91" s="173" t="s">
        <v>250</v>
      </c>
      <c r="D91" s="307">
        <v>350.56</v>
      </c>
      <c r="E91" s="399" t="s">
        <v>33</v>
      </c>
      <c r="F91" s="399" t="s">
        <v>33</v>
      </c>
    </row>
    <row r="92" spans="1:6" s="174" customFormat="1" ht="11.25">
      <c r="A92" s="339">
        <v>90439</v>
      </c>
      <c r="B92" s="262" t="s">
        <v>558</v>
      </c>
      <c r="C92" s="173" t="s">
        <v>251</v>
      </c>
      <c r="D92" s="307">
        <v>49.34</v>
      </c>
      <c r="E92" s="399" t="s">
        <v>33</v>
      </c>
      <c r="F92" s="399" t="s">
        <v>33</v>
      </c>
    </row>
    <row r="93" spans="1:6" s="174" customFormat="1" ht="22.5">
      <c r="A93" s="339">
        <v>90440</v>
      </c>
      <c r="B93" s="262" t="s">
        <v>559</v>
      </c>
      <c r="C93" s="173" t="s">
        <v>251</v>
      </c>
      <c r="D93" s="307">
        <v>79.02</v>
      </c>
      <c r="E93" s="399" t="s">
        <v>33</v>
      </c>
      <c r="F93" s="399" t="s">
        <v>33</v>
      </c>
    </row>
    <row r="94" spans="1:6" s="174" customFormat="1" ht="11.25">
      <c r="A94" s="339">
        <v>90441</v>
      </c>
      <c r="B94" s="262" t="s">
        <v>470</v>
      </c>
      <c r="C94" s="173" t="s">
        <v>251</v>
      </c>
      <c r="D94" s="307">
        <v>100.93</v>
      </c>
      <c r="E94" s="399" t="s">
        <v>33</v>
      </c>
      <c r="F94" s="399" t="s">
        <v>33</v>
      </c>
    </row>
    <row r="95" spans="1:6" s="174" customFormat="1" ht="22.5">
      <c r="A95" s="339">
        <v>90586</v>
      </c>
      <c r="B95" s="262" t="s">
        <v>482</v>
      </c>
      <c r="C95" s="173" t="s">
        <v>447</v>
      </c>
      <c r="D95" s="307">
        <v>1.29</v>
      </c>
      <c r="E95" s="399" t="s">
        <v>33</v>
      </c>
      <c r="F95" s="399" t="s">
        <v>33</v>
      </c>
    </row>
    <row r="96" spans="1:6" s="174" customFormat="1" ht="22.5">
      <c r="A96" s="339">
        <v>90587</v>
      </c>
      <c r="B96" s="262" t="s">
        <v>483</v>
      </c>
      <c r="C96" s="173" t="s">
        <v>484</v>
      </c>
      <c r="D96" s="307">
        <v>0.29</v>
      </c>
      <c r="E96" s="399" t="s">
        <v>33</v>
      </c>
      <c r="F96" s="399" t="s">
        <v>33</v>
      </c>
    </row>
    <row r="97" spans="1:6" s="174" customFormat="1" ht="33.75">
      <c r="A97" s="339">
        <v>90696</v>
      </c>
      <c r="B97" s="262" t="s">
        <v>624</v>
      </c>
      <c r="C97" s="173" t="s">
        <v>249</v>
      </c>
      <c r="D97" s="307">
        <v>72.14</v>
      </c>
      <c r="E97" s="271"/>
      <c r="F97" s="338"/>
    </row>
    <row r="98" spans="1:6" s="174" customFormat="1" ht="22.5">
      <c r="A98" s="339">
        <v>91104</v>
      </c>
      <c r="B98" s="262" t="s">
        <v>127</v>
      </c>
      <c r="C98" s="173" t="s">
        <v>249</v>
      </c>
      <c r="D98" s="307">
        <v>0.06</v>
      </c>
      <c r="E98" s="399" t="s">
        <v>33</v>
      </c>
      <c r="F98" s="399" t="s">
        <v>33</v>
      </c>
    </row>
    <row r="99" spans="1:6" s="174" customFormat="1" ht="22.5">
      <c r="A99" s="339">
        <v>91105</v>
      </c>
      <c r="B99" s="262" t="s">
        <v>126</v>
      </c>
      <c r="C99" s="173" t="s">
        <v>249</v>
      </c>
      <c r="D99" s="307">
        <v>0.15</v>
      </c>
      <c r="E99" s="399" t="s">
        <v>33</v>
      </c>
      <c r="F99" s="399" t="s">
        <v>33</v>
      </c>
    </row>
    <row r="100" spans="1:6" ht="33.75">
      <c r="A100" s="339">
        <v>91107</v>
      </c>
      <c r="B100" s="262" t="s">
        <v>125</v>
      </c>
      <c r="C100" s="173" t="s">
        <v>249</v>
      </c>
      <c r="D100" s="307">
        <v>0.07</v>
      </c>
      <c r="E100" s="399" t="s">
        <v>33</v>
      </c>
      <c r="F100" s="399" t="s">
        <v>33</v>
      </c>
    </row>
    <row r="101" spans="1:6" ht="33.75">
      <c r="A101" s="339">
        <v>91108</v>
      </c>
      <c r="B101" s="262" t="s">
        <v>124</v>
      </c>
      <c r="C101" s="173" t="s">
        <v>249</v>
      </c>
      <c r="D101" s="307">
        <v>0.15</v>
      </c>
      <c r="E101" s="399" t="s">
        <v>33</v>
      </c>
      <c r="F101" s="399" t="s">
        <v>33</v>
      </c>
    </row>
    <row r="102" spans="1:6" ht="33.75">
      <c r="A102" s="339">
        <v>91170</v>
      </c>
      <c r="B102" s="262" t="s">
        <v>140</v>
      </c>
      <c r="C102" s="173" t="s">
        <v>249</v>
      </c>
      <c r="D102" s="307">
        <v>2.26</v>
      </c>
      <c r="E102" s="399" t="s">
        <v>33</v>
      </c>
      <c r="F102" s="399" t="s">
        <v>33</v>
      </c>
    </row>
    <row r="103" spans="1:6" ht="33.75">
      <c r="A103" s="339">
        <v>91185</v>
      </c>
      <c r="B103" s="262" t="s">
        <v>148</v>
      </c>
      <c r="C103" s="173" t="s">
        <v>249</v>
      </c>
      <c r="D103" s="307">
        <v>5.7</v>
      </c>
      <c r="E103" s="399" t="s">
        <v>33</v>
      </c>
      <c r="F103" s="399" t="s">
        <v>33</v>
      </c>
    </row>
    <row r="104" spans="1:6" ht="33.75">
      <c r="A104" s="339">
        <v>91186</v>
      </c>
      <c r="B104" s="262" t="s">
        <v>147</v>
      </c>
      <c r="C104" s="173" t="s">
        <v>249</v>
      </c>
      <c r="D104" s="307">
        <v>4.66</v>
      </c>
      <c r="E104" s="399" t="s">
        <v>33</v>
      </c>
      <c r="F104" s="399" t="s">
        <v>33</v>
      </c>
    </row>
    <row r="105" spans="1:6" ht="33.75">
      <c r="A105" s="339">
        <v>91187</v>
      </c>
      <c r="B105" s="262" t="s">
        <v>146</v>
      </c>
      <c r="C105" s="173" t="s">
        <v>249</v>
      </c>
      <c r="D105" s="307">
        <v>5.38</v>
      </c>
      <c r="E105" s="399" t="s">
        <v>33</v>
      </c>
      <c r="F105" s="399" t="s">
        <v>33</v>
      </c>
    </row>
    <row r="106" spans="1:6" ht="22.5">
      <c r="A106" s="339">
        <v>91533</v>
      </c>
      <c r="B106" s="262" t="s">
        <v>474</v>
      </c>
      <c r="C106" s="173" t="s">
        <v>205</v>
      </c>
      <c r="D106" s="307">
        <v>21.11</v>
      </c>
      <c r="E106" s="399" t="s">
        <v>33</v>
      </c>
      <c r="F106" s="399" t="s">
        <v>33</v>
      </c>
    </row>
    <row r="107" spans="1:6" ht="22.5">
      <c r="A107" s="339">
        <v>91534</v>
      </c>
      <c r="B107" s="262" t="s">
        <v>475</v>
      </c>
      <c r="C107" s="173" t="s">
        <v>206</v>
      </c>
      <c r="D107" s="307">
        <v>17.67</v>
      </c>
      <c r="E107" s="271"/>
      <c r="F107" s="338"/>
    </row>
    <row r="108" spans="1:6" ht="33.75">
      <c r="A108" s="339">
        <v>91784</v>
      </c>
      <c r="B108" s="262" t="s">
        <v>626</v>
      </c>
      <c r="C108" s="173" t="s">
        <v>249</v>
      </c>
      <c r="D108" s="307">
        <v>33.46</v>
      </c>
      <c r="E108" s="271"/>
      <c r="F108" s="338"/>
    </row>
    <row r="109" spans="1:6" ht="33.75">
      <c r="A109" s="339">
        <v>91785</v>
      </c>
      <c r="B109" s="262" t="s">
        <v>134</v>
      </c>
      <c r="C109" s="173" t="s">
        <v>249</v>
      </c>
      <c r="D109" s="307">
        <v>32.98</v>
      </c>
      <c r="E109" s="271"/>
      <c r="F109" s="338"/>
    </row>
    <row r="110" spans="1:6" ht="33.75">
      <c r="A110" s="339">
        <v>91786</v>
      </c>
      <c r="B110" s="262" t="s">
        <v>154</v>
      </c>
      <c r="C110" s="173" t="s">
        <v>249</v>
      </c>
      <c r="D110" s="307">
        <v>20.45</v>
      </c>
      <c r="E110" s="271"/>
      <c r="F110" s="338"/>
    </row>
    <row r="111" spans="1:6" ht="33.75">
      <c r="A111" s="339">
        <v>91787</v>
      </c>
      <c r="B111" s="262" t="s">
        <v>133</v>
      </c>
      <c r="C111" s="173" t="s">
        <v>249</v>
      </c>
      <c r="D111" s="307">
        <v>21.08</v>
      </c>
      <c r="E111" s="271"/>
      <c r="F111" s="338"/>
    </row>
    <row r="112" spans="1:6" ht="33.75">
      <c r="A112" s="339">
        <v>91788</v>
      </c>
      <c r="B112" s="262" t="s">
        <v>86</v>
      </c>
      <c r="C112" s="173" t="s">
        <v>249</v>
      </c>
      <c r="D112" s="307">
        <v>27.52</v>
      </c>
      <c r="E112" s="271"/>
      <c r="F112" s="338"/>
    </row>
    <row r="113" spans="1:6" ht="33.75">
      <c r="A113" s="339">
        <v>91789</v>
      </c>
      <c r="B113" s="262" t="s">
        <v>625</v>
      </c>
      <c r="C113" s="173" t="s">
        <v>249</v>
      </c>
      <c r="D113" s="307">
        <v>29.35</v>
      </c>
      <c r="E113" s="271"/>
      <c r="F113" s="338"/>
    </row>
    <row r="114" spans="1:6" ht="33.75">
      <c r="A114" s="339">
        <v>91790</v>
      </c>
      <c r="B114" s="262" t="s">
        <v>130</v>
      </c>
      <c r="C114" s="173" t="s">
        <v>249</v>
      </c>
      <c r="D114" s="307">
        <v>45.28</v>
      </c>
      <c r="E114" s="271"/>
      <c r="F114" s="338"/>
    </row>
    <row r="115" spans="1:6" ht="33.75">
      <c r="A115" s="339">
        <v>91791</v>
      </c>
      <c r="B115" s="262" t="s">
        <v>128</v>
      </c>
      <c r="C115" s="173" t="s">
        <v>249</v>
      </c>
      <c r="D115" s="307">
        <v>56.82</v>
      </c>
      <c r="E115" s="271"/>
      <c r="F115" s="338"/>
    </row>
    <row r="116" spans="1:6" ht="33.75">
      <c r="A116" s="339">
        <v>91796</v>
      </c>
      <c r="B116" s="262" t="s">
        <v>129</v>
      </c>
      <c r="C116" s="173" t="s">
        <v>249</v>
      </c>
      <c r="D116" s="307">
        <v>50.48</v>
      </c>
      <c r="E116" s="271"/>
      <c r="F116" s="338"/>
    </row>
    <row r="117" spans="1:6" ht="22.5">
      <c r="A117" s="339">
        <v>91926</v>
      </c>
      <c r="B117" s="262" t="s">
        <v>441</v>
      </c>
      <c r="C117" s="173" t="s">
        <v>249</v>
      </c>
      <c r="D117" s="307">
        <v>2.94</v>
      </c>
      <c r="E117" s="271"/>
      <c r="F117" s="338"/>
    </row>
    <row r="118" spans="1:6" ht="22.5">
      <c r="A118" s="339">
        <v>91929</v>
      </c>
      <c r="B118" s="262" t="s">
        <v>409</v>
      </c>
      <c r="C118" s="173" t="s">
        <v>249</v>
      </c>
      <c r="D118" s="307">
        <v>5.33</v>
      </c>
      <c r="E118" s="271"/>
      <c r="F118" s="338"/>
    </row>
    <row r="119" spans="1:6" ht="22.5">
      <c r="A119" s="339">
        <v>91930</v>
      </c>
      <c r="B119" s="262" t="s">
        <v>408</v>
      </c>
      <c r="C119" s="173" t="s">
        <v>249</v>
      </c>
      <c r="D119" s="307">
        <v>6.44</v>
      </c>
      <c r="E119" s="271"/>
      <c r="F119" s="338"/>
    </row>
    <row r="120" spans="1:6" ht="22.5">
      <c r="A120" s="339">
        <v>92418</v>
      </c>
      <c r="B120" s="262" t="s">
        <v>387</v>
      </c>
      <c r="C120" s="173" t="s">
        <v>248</v>
      </c>
      <c r="D120" s="307">
        <v>61.17</v>
      </c>
      <c r="E120" s="399" t="s">
        <v>33</v>
      </c>
      <c r="F120" s="399" t="s">
        <v>33</v>
      </c>
    </row>
    <row r="121" spans="1:6" ht="22.5">
      <c r="A121" s="339">
        <v>92446</v>
      </c>
      <c r="B121" s="262" t="s">
        <v>393</v>
      </c>
      <c r="C121" s="173" t="s">
        <v>248</v>
      </c>
      <c r="D121" s="307">
        <v>161.34</v>
      </c>
      <c r="E121" s="399" t="s">
        <v>33</v>
      </c>
      <c r="F121" s="399" t="s">
        <v>33</v>
      </c>
    </row>
    <row r="122" spans="1:6" ht="22.5">
      <c r="A122" s="339">
        <v>92776</v>
      </c>
      <c r="B122" s="262" t="s">
        <v>383</v>
      </c>
      <c r="C122" s="173" t="s">
        <v>195</v>
      </c>
      <c r="D122" s="307">
        <v>10.91</v>
      </c>
      <c r="E122" s="399" t="s">
        <v>33</v>
      </c>
      <c r="F122" s="399" t="s">
        <v>33</v>
      </c>
    </row>
    <row r="123" spans="1:6" ht="22.5">
      <c r="A123" s="339">
        <v>92777</v>
      </c>
      <c r="B123" s="262" t="s">
        <v>385</v>
      </c>
      <c r="C123" s="173" t="s">
        <v>195</v>
      </c>
      <c r="D123" s="307">
        <v>10.26</v>
      </c>
      <c r="E123" s="399" t="s">
        <v>33</v>
      </c>
      <c r="F123" s="399" t="s">
        <v>33</v>
      </c>
    </row>
    <row r="124" spans="1:6" ht="22.5">
      <c r="A124" s="339">
        <v>92778</v>
      </c>
      <c r="B124" s="262" t="s">
        <v>607</v>
      </c>
      <c r="C124" s="173" t="s">
        <v>195</v>
      </c>
      <c r="D124" s="307">
        <v>8.29</v>
      </c>
      <c r="E124" s="399" t="s">
        <v>33</v>
      </c>
      <c r="F124" s="399" t="s">
        <v>33</v>
      </c>
    </row>
    <row r="125" spans="1:6" ht="22.5">
      <c r="A125" s="339">
        <v>92779</v>
      </c>
      <c r="B125" s="262" t="s">
        <v>384</v>
      </c>
      <c r="C125" s="173" t="s">
        <v>195</v>
      </c>
      <c r="D125" s="307">
        <v>7.24</v>
      </c>
      <c r="E125" s="399" t="s">
        <v>33</v>
      </c>
      <c r="F125" s="399" t="s">
        <v>33</v>
      </c>
    </row>
    <row r="126" spans="1:6" ht="22.5">
      <c r="A126" s="339">
        <v>92780</v>
      </c>
      <c r="B126" s="262" t="s">
        <v>608</v>
      </c>
      <c r="C126" s="173" t="s">
        <v>195</v>
      </c>
      <c r="D126" s="307">
        <v>6.59</v>
      </c>
      <c r="E126" s="399" t="s">
        <v>33</v>
      </c>
      <c r="F126" s="399" t="s">
        <v>33</v>
      </c>
    </row>
    <row r="127" spans="1:6" ht="12.75">
      <c r="A127" s="339">
        <v>93358</v>
      </c>
      <c r="B127" s="262" t="s">
        <v>120</v>
      </c>
      <c r="C127" s="173" t="s">
        <v>250</v>
      </c>
      <c r="D127" s="307">
        <v>62.46</v>
      </c>
      <c r="E127" s="399" t="s">
        <v>33</v>
      </c>
      <c r="F127" s="399" t="s">
        <v>33</v>
      </c>
    </row>
    <row r="128" spans="1:6" ht="12.75">
      <c r="A128" s="339">
        <v>93382</v>
      </c>
      <c r="B128" s="262" t="s">
        <v>153</v>
      </c>
      <c r="C128" s="173" t="s">
        <v>250</v>
      </c>
      <c r="D128" s="307">
        <v>21.78</v>
      </c>
      <c r="E128" s="399" t="s">
        <v>33</v>
      </c>
      <c r="F128" s="399" t="s">
        <v>33</v>
      </c>
    </row>
    <row r="129" spans="1:6" ht="33.75">
      <c r="A129" s="339">
        <v>94495</v>
      </c>
      <c r="B129" s="262" t="s">
        <v>103</v>
      </c>
      <c r="C129" s="173" t="s">
        <v>251</v>
      </c>
      <c r="D129" s="307">
        <v>64.23</v>
      </c>
      <c r="E129" s="271"/>
      <c r="F129" s="338"/>
    </row>
    <row r="130" spans="1:6" ht="33.75">
      <c r="A130" s="339">
        <v>94497</v>
      </c>
      <c r="B130" s="262" t="s">
        <v>102</v>
      </c>
      <c r="C130" s="173" t="s">
        <v>251</v>
      </c>
      <c r="D130" s="307">
        <v>90.18</v>
      </c>
      <c r="E130" s="271"/>
      <c r="F130" s="338"/>
    </row>
    <row r="131" spans="1:6" s="174" customFormat="1" ht="33.75">
      <c r="A131" s="339">
        <v>94498</v>
      </c>
      <c r="B131" s="262" t="s">
        <v>101</v>
      </c>
      <c r="C131" s="173" t="s">
        <v>251</v>
      </c>
      <c r="D131" s="307">
        <v>115.24</v>
      </c>
      <c r="E131" s="271"/>
      <c r="F131" s="338"/>
    </row>
    <row r="132" spans="1:6" s="174" customFormat="1" ht="33.75">
      <c r="A132" s="339">
        <v>94500</v>
      </c>
      <c r="B132" s="262" t="s">
        <v>100</v>
      </c>
      <c r="C132" s="173" t="s">
        <v>251</v>
      </c>
      <c r="D132" s="307">
        <v>243.61</v>
      </c>
      <c r="E132" s="271"/>
      <c r="F132" s="338"/>
    </row>
    <row r="133" spans="1:6" s="174" customFormat="1" ht="33.75">
      <c r="A133" s="339">
        <v>94501</v>
      </c>
      <c r="B133" s="262" t="s">
        <v>629</v>
      </c>
      <c r="C133" s="173" t="s">
        <v>251</v>
      </c>
      <c r="D133" s="307">
        <v>472.36</v>
      </c>
      <c r="E133" s="271"/>
      <c r="F133" s="338"/>
    </row>
    <row r="134" spans="1:6" s="174" customFormat="1" ht="33.75">
      <c r="A134" s="339">
        <v>94652</v>
      </c>
      <c r="B134" s="262" t="s">
        <v>132</v>
      </c>
      <c r="C134" s="173" t="s">
        <v>249</v>
      </c>
      <c r="D134" s="307">
        <v>26.86</v>
      </c>
      <c r="E134" s="271"/>
      <c r="F134" s="338"/>
    </row>
    <row r="135" spans="1:6" s="174" customFormat="1" ht="33.75">
      <c r="A135" s="339">
        <v>94680</v>
      </c>
      <c r="B135" s="262" t="s">
        <v>136</v>
      </c>
      <c r="C135" s="173" t="s">
        <v>251</v>
      </c>
      <c r="D135" s="307">
        <v>31.15</v>
      </c>
      <c r="E135" s="271"/>
      <c r="F135" s="338"/>
    </row>
    <row r="136" spans="1:6" s="174" customFormat="1" ht="33.75">
      <c r="A136" s="339">
        <v>94684</v>
      </c>
      <c r="B136" s="262" t="s">
        <v>138</v>
      </c>
      <c r="C136" s="173" t="s">
        <v>251</v>
      </c>
      <c r="D136" s="307">
        <v>98.45</v>
      </c>
      <c r="E136" s="271"/>
      <c r="F136" s="338"/>
    </row>
    <row r="137" spans="1:6" s="174" customFormat="1" ht="22.5">
      <c r="A137" s="339">
        <v>94696</v>
      </c>
      <c r="B137" s="262" t="s">
        <v>135</v>
      </c>
      <c r="C137" s="173" t="s">
        <v>251</v>
      </c>
      <c r="D137" s="307">
        <v>40.83</v>
      </c>
      <c r="E137" s="271"/>
      <c r="F137" s="338"/>
    </row>
    <row r="138" spans="1:6" s="174" customFormat="1" ht="22.5">
      <c r="A138" s="339">
        <v>94699</v>
      </c>
      <c r="B138" s="262" t="s">
        <v>96</v>
      </c>
      <c r="C138" s="173" t="s">
        <v>251</v>
      </c>
      <c r="D138" s="307">
        <v>102.72</v>
      </c>
      <c r="E138" s="271"/>
      <c r="F138" s="338"/>
    </row>
    <row r="139" spans="1:6" s="174" customFormat="1" ht="33.75">
      <c r="A139" s="339">
        <v>94710</v>
      </c>
      <c r="B139" s="262" t="s">
        <v>144</v>
      </c>
      <c r="C139" s="173" t="s">
        <v>251</v>
      </c>
      <c r="D139" s="307">
        <v>33.53</v>
      </c>
      <c r="E139" s="271"/>
      <c r="F139" s="338"/>
    </row>
    <row r="140" spans="1:6" s="174" customFormat="1" ht="33.75">
      <c r="A140" s="339">
        <v>94711</v>
      </c>
      <c r="B140" s="262" t="s">
        <v>143</v>
      </c>
      <c r="C140" s="173" t="s">
        <v>251</v>
      </c>
      <c r="D140" s="307">
        <v>41.12</v>
      </c>
      <c r="E140" s="271"/>
      <c r="F140" s="338"/>
    </row>
    <row r="141" spans="1:6" s="174" customFormat="1" ht="33.75">
      <c r="A141" s="339">
        <v>94712</v>
      </c>
      <c r="B141" s="262" t="s">
        <v>142</v>
      </c>
      <c r="C141" s="173" t="s">
        <v>251</v>
      </c>
      <c r="D141" s="307">
        <v>53.6</v>
      </c>
      <c r="E141" s="271"/>
      <c r="F141" s="338"/>
    </row>
    <row r="142" spans="1:6" s="174" customFormat="1" ht="33.75">
      <c r="A142" s="339">
        <v>94714</v>
      </c>
      <c r="B142" s="262" t="s">
        <v>141</v>
      </c>
      <c r="C142" s="173" t="s">
        <v>251</v>
      </c>
      <c r="D142" s="307">
        <v>178.35</v>
      </c>
      <c r="E142" s="271"/>
      <c r="F142" s="338"/>
    </row>
    <row r="143" spans="1:6" s="174" customFormat="1" ht="33.75">
      <c r="A143" s="339">
        <v>94715</v>
      </c>
      <c r="B143" s="262" t="s">
        <v>631</v>
      </c>
      <c r="C143" s="173" t="s">
        <v>251</v>
      </c>
      <c r="D143" s="307">
        <v>244.51</v>
      </c>
      <c r="E143" s="271"/>
      <c r="F143" s="338"/>
    </row>
    <row r="144" spans="1:6" s="165" customFormat="1" ht="22.5">
      <c r="A144" s="339">
        <v>94798</v>
      </c>
      <c r="B144" s="262" t="s">
        <v>524</v>
      </c>
      <c r="C144" s="173" t="s">
        <v>251</v>
      </c>
      <c r="D144" s="307">
        <v>144.57</v>
      </c>
      <c r="E144" s="271"/>
      <c r="F144" s="338"/>
    </row>
    <row r="145" spans="1:6" s="174" customFormat="1" ht="22.5">
      <c r="A145" s="339">
        <v>94799</v>
      </c>
      <c r="B145" s="262" t="s">
        <v>525</v>
      </c>
      <c r="C145" s="173" t="s">
        <v>251</v>
      </c>
      <c r="D145" s="307">
        <v>138.72</v>
      </c>
      <c r="E145" s="271"/>
      <c r="F145" s="338"/>
    </row>
    <row r="146" spans="1:6" s="174" customFormat="1" ht="22.5">
      <c r="A146" s="339">
        <v>94962</v>
      </c>
      <c r="B146" s="262" t="s">
        <v>17</v>
      </c>
      <c r="C146" s="173" t="s">
        <v>250</v>
      </c>
      <c r="D146" s="307">
        <v>269.53</v>
      </c>
      <c r="E146" s="399" t="s">
        <v>33</v>
      </c>
      <c r="F146" s="399" t="s">
        <v>33</v>
      </c>
    </row>
    <row r="147" spans="1:6" s="174" customFormat="1" ht="22.5">
      <c r="A147" s="339">
        <v>94963</v>
      </c>
      <c r="B147" s="262" t="s">
        <v>18</v>
      </c>
      <c r="C147" s="173" t="s">
        <v>250</v>
      </c>
      <c r="D147" s="307">
        <v>292.36</v>
      </c>
      <c r="E147" s="399" t="s">
        <v>33</v>
      </c>
      <c r="F147" s="399" t="s">
        <v>33</v>
      </c>
    </row>
    <row r="148" spans="1:6" s="174" customFormat="1" ht="22.5">
      <c r="A148" s="339">
        <v>94970</v>
      </c>
      <c r="B148" s="262" t="s">
        <v>604</v>
      </c>
      <c r="C148" s="173" t="s">
        <v>250</v>
      </c>
      <c r="D148" s="307">
        <v>304.82</v>
      </c>
      <c r="E148" s="399" t="s">
        <v>33</v>
      </c>
      <c r="F148" s="399" t="s">
        <v>33</v>
      </c>
    </row>
    <row r="149" spans="1:6" s="174" customFormat="1" ht="22.5">
      <c r="A149" s="339">
        <v>94971</v>
      </c>
      <c r="B149" s="262" t="s">
        <v>603</v>
      </c>
      <c r="C149" s="173" t="s">
        <v>250</v>
      </c>
      <c r="D149" s="307">
        <v>317.21</v>
      </c>
      <c r="E149" s="399" t="s">
        <v>33</v>
      </c>
      <c r="F149" s="399" t="s">
        <v>33</v>
      </c>
    </row>
    <row r="150" spans="1:6" s="174" customFormat="1" ht="22.5">
      <c r="A150" s="339">
        <v>94972</v>
      </c>
      <c r="B150" s="262" t="s">
        <v>606</v>
      </c>
      <c r="C150" s="173" t="s">
        <v>250</v>
      </c>
      <c r="D150" s="307">
        <v>325.79</v>
      </c>
      <c r="E150" s="399" t="s">
        <v>33</v>
      </c>
      <c r="F150" s="399" t="s">
        <v>33</v>
      </c>
    </row>
    <row r="151" spans="1:6" s="174" customFormat="1" ht="22.5">
      <c r="A151" s="339">
        <v>95805</v>
      </c>
      <c r="B151" s="262" t="s">
        <v>440</v>
      </c>
      <c r="C151" s="173" t="s">
        <v>251</v>
      </c>
      <c r="D151" s="307">
        <v>18.31</v>
      </c>
      <c r="E151" s="271"/>
      <c r="F151" s="338"/>
    </row>
    <row r="152" spans="1:6" s="174" customFormat="1" ht="22.5">
      <c r="A152" s="339">
        <v>95815</v>
      </c>
      <c r="B152" s="262" t="s">
        <v>27</v>
      </c>
      <c r="C152" s="173" t="s">
        <v>251</v>
      </c>
      <c r="D152" s="307">
        <v>17.48</v>
      </c>
      <c r="E152" s="271"/>
      <c r="F152" s="338"/>
    </row>
    <row r="153" spans="1:6" s="174" customFormat="1" ht="22.5">
      <c r="A153" s="339">
        <v>97622</v>
      </c>
      <c r="B153" s="262" t="s">
        <v>446</v>
      </c>
      <c r="C153" s="173" t="s">
        <v>250</v>
      </c>
      <c r="D153" s="307">
        <v>41.53</v>
      </c>
      <c r="E153" s="399" t="s">
        <v>33</v>
      </c>
      <c r="F153" s="399" t="s">
        <v>33</v>
      </c>
    </row>
    <row r="154" spans="1:6" s="174" customFormat="1" ht="11.25">
      <c r="A154" s="339">
        <v>97629</v>
      </c>
      <c r="B154" s="262" t="s">
        <v>595</v>
      </c>
      <c r="C154" s="173" t="s">
        <v>250</v>
      </c>
      <c r="D154" s="307">
        <v>94.28</v>
      </c>
      <c r="E154" s="399" t="s">
        <v>33</v>
      </c>
      <c r="F154" s="399" t="s">
        <v>33</v>
      </c>
    </row>
    <row r="155" spans="1:6" s="174" customFormat="1" ht="11.25">
      <c r="A155" s="339">
        <v>97631</v>
      </c>
      <c r="B155" s="262" t="s">
        <v>597</v>
      </c>
      <c r="C155" s="173" t="s">
        <v>248</v>
      </c>
      <c r="D155" s="307">
        <v>2.46</v>
      </c>
      <c r="E155" s="399" t="s">
        <v>33</v>
      </c>
      <c r="F155" s="399" t="s">
        <v>33</v>
      </c>
    </row>
    <row r="156" spans="1:6" s="174" customFormat="1" ht="11.25">
      <c r="A156" s="339">
        <v>97641</v>
      </c>
      <c r="B156" s="262" t="s">
        <v>386</v>
      </c>
      <c r="C156" s="173" t="s">
        <v>248</v>
      </c>
      <c r="D156" s="307">
        <v>3.73</v>
      </c>
      <c r="E156" s="399" t="s">
        <v>33</v>
      </c>
      <c r="F156" s="399" t="s">
        <v>33</v>
      </c>
    </row>
    <row r="157" spans="1:6" s="165" customFormat="1" ht="22.5">
      <c r="A157" s="339">
        <v>97662</v>
      </c>
      <c r="B157" s="262" t="s">
        <v>122</v>
      </c>
      <c r="C157" s="173" t="s">
        <v>249</v>
      </c>
      <c r="D157" s="307">
        <v>0.36</v>
      </c>
      <c r="E157" s="399" t="s">
        <v>33</v>
      </c>
      <c r="F157" s="399" t="s">
        <v>33</v>
      </c>
    </row>
    <row r="158" spans="1:6" s="174" customFormat="1" ht="22.5">
      <c r="A158" s="339">
        <v>97666</v>
      </c>
      <c r="B158" s="262" t="s">
        <v>123</v>
      </c>
      <c r="C158" s="173" t="s">
        <v>251</v>
      </c>
      <c r="D158" s="307">
        <v>6.65</v>
      </c>
      <c r="E158" s="399" t="s">
        <v>33</v>
      </c>
      <c r="F158" s="399" t="s">
        <v>33</v>
      </c>
    </row>
    <row r="159" spans="1:6" s="174" customFormat="1" ht="22.5">
      <c r="A159" s="339">
        <v>97915</v>
      </c>
      <c r="B159" s="262" t="s">
        <v>435</v>
      </c>
      <c r="C159" s="173" t="s">
        <v>427</v>
      </c>
      <c r="D159" s="307">
        <v>1.14</v>
      </c>
      <c r="E159" s="399" t="s">
        <v>33</v>
      </c>
      <c r="F159" s="399" t="s">
        <v>33</v>
      </c>
    </row>
    <row r="160" spans="1:6" s="174" customFormat="1" ht="22.5">
      <c r="A160" s="339">
        <v>99631</v>
      </c>
      <c r="B160" s="262" t="s">
        <v>145</v>
      </c>
      <c r="C160" s="173" t="s">
        <v>251</v>
      </c>
      <c r="D160" s="307">
        <v>86.7</v>
      </c>
      <c r="E160" s="271"/>
      <c r="F160" s="338"/>
    </row>
    <row r="161" spans="1:6" s="174" customFormat="1" ht="11.25">
      <c r="A161" s="339">
        <v>99814</v>
      </c>
      <c r="B161" s="262" t="s">
        <v>590</v>
      </c>
      <c r="C161" s="173" t="s">
        <v>248</v>
      </c>
      <c r="D161" s="307">
        <v>1.41</v>
      </c>
      <c r="E161" s="399" t="s">
        <v>33</v>
      </c>
      <c r="F161" s="399" t="s">
        <v>33</v>
      </c>
    </row>
    <row r="162" spans="1:6" s="174" customFormat="1" ht="11.25">
      <c r="A162" s="339" t="s">
        <v>453</v>
      </c>
      <c r="B162" s="262" t="s">
        <v>454</v>
      </c>
      <c r="C162" s="173" t="s">
        <v>251</v>
      </c>
      <c r="D162" s="307">
        <v>432.9</v>
      </c>
      <c r="E162" s="399" t="s">
        <v>33</v>
      </c>
      <c r="F162" s="399" t="s">
        <v>33</v>
      </c>
    </row>
    <row r="163" spans="1:6" s="174" customFormat="1" ht="12.75">
      <c r="A163" s="339" t="s">
        <v>380</v>
      </c>
      <c r="B163" s="262" t="s">
        <v>381</v>
      </c>
      <c r="C163" s="173" t="s">
        <v>248</v>
      </c>
      <c r="D163" s="307">
        <v>25.6</v>
      </c>
      <c r="E163" s="271"/>
      <c r="F163" s="338"/>
    </row>
    <row r="164" spans="1:6" s="174" customFormat="1" ht="12.75">
      <c r="A164" s="342"/>
      <c r="B164" s="343" t="s">
        <v>208</v>
      </c>
      <c r="C164" s="343"/>
      <c r="D164" s="344"/>
      <c r="E164" s="400"/>
      <c r="F164" s="401"/>
    </row>
    <row r="165" spans="1:6" s="165" customFormat="1" ht="22.5">
      <c r="A165" s="339" t="s">
        <v>400</v>
      </c>
      <c r="B165" s="262" t="s">
        <v>401</v>
      </c>
      <c r="C165" s="173" t="s">
        <v>251</v>
      </c>
      <c r="D165" s="307">
        <v>6.45</v>
      </c>
      <c r="E165" s="399" t="s">
        <v>33</v>
      </c>
      <c r="F165" s="399" t="s">
        <v>33</v>
      </c>
    </row>
    <row r="166" spans="1:6" s="165" customFormat="1" ht="22.5">
      <c r="A166" s="339" t="s">
        <v>616</v>
      </c>
      <c r="B166" s="262" t="s">
        <v>617</v>
      </c>
      <c r="C166" s="173" t="s">
        <v>251</v>
      </c>
      <c r="D166" s="307">
        <v>7.99</v>
      </c>
      <c r="E166" s="399" t="s">
        <v>33</v>
      </c>
      <c r="F166" s="399" t="s">
        <v>33</v>
      </c>
    </row>
    <row r="167" spans="1:6" s="165" customFormat="1" ht="22.5">
      <c r="A167" s="339" t="s">
        <v>619</v>
      </c>
      <c r="B167" s="262" t="s">
        <v>618</v>
      </c>
      <c r="C167" s="173" t="s">
        <v>251</v>
      </c>
      <c r="D167" s="307">
        <v>10.07</v>
      </c>
      <c r="E167" s="399" t="s">
        <v>33</v>
      </c>
      <c r="F167" s="399" t="s">
        <v>33</v>
      </c>
    </row>
    <row r="168" spans="1:6" s="165" customFormat="1" ht="22.5">
      <c r="A168" s="339" t="s">
        <v>560</v>
      </c>
      <c r="B168" s="262" t="s">
        <v>561</v>
      </c>
      <c r="C168" s="173" t="s">
        <v>249</v>
      </c>
      <c r="D168" s="307">
        <v>34.7</v>
      </c>
      <c r="E168" s="399" t="s">
        <v>33</v>
      </c>
      <c r="F168" s="399" t="s">
        <v>33</v>
      </c>
    </row>
    <row r="169" spans="1:6" s="165" customFormat="1" ht="22.5">
      <c r="A169" s="339" t="s">
        <v>564</v>
      </c>
      <c r="B169" s="262" t="s">
        <v>565</v>
      </c>
      <c r="C169" s="173" t="s">
        <v>249</v>
      </c>
      <c r="D169" s="307">
        <v>21.48</v>
      </c>
      <c r="E169" s="399" t="s">
        <v>33</v>
      </c>
      <c r="F169" s="399" t="s">
        <v>33</v>
      </c>
    </row>
    <row r="170" spans="1:6" s="165" customFormat="1" ht="22.5">
      <c r="A170" s="339" t="s">
        <v>404</v>
      </c>
      <c r="B170" s="262" t="s">
        <v>403</v>
      </c>
      <c r="C170" s="173" t="s">
        <v>248</v>
      </c>
      <c r="D170" s="307">
        <v>55.16</v>
      </c>
      <c r="E170" s="271"/>
      <c r="F170" s="338"/>
    </row>
    <row r="171" spans="1:6" s="165" customFormat="1" ht="11.25">
      <c r="A171" s="339" t="s">
        <v>471</v>
      </c>
      <c r="B171" s="262" t="s">
        <v>422</v>
      </c>
      <c r="C171" s="173" t="s">
        <v>248</v>
      </c>
      <c r="D171" s="307">
        <v>15</v>
      </c>
      <c r="E171" s="399" t="s">
        <v>33</v>
      </c>
      <c r="F171" s="399" t="s">
        <v>33</v>
      </c>
    </row>
    <row r="172" spans="1:6" s="165" customFormat="1" ht="12.75">
      <c r="A172" s="339" t="s">
        <v>28</v>
      </c>
      <c r="B172" s="262" t="s">
        <v>29</v>
      </c>
      <c r="C172" s="173" t="s">
        <v>249</v>
      </c>
      <c r="D172" s="307">
        <v>11.73</v>
      </c>
      <c r="E172" s="271"/>
      <c r="F172" s="338"/>
    </row>
    <row r="173" spans="1:6" s="174" customFormat="1" ht="12.75">
      <c r="A173" s="342"/>
      <c r="B173" s="343" t="s">
        <v>209</v>
      </c>
      <c r="C173" s="343"/>
      <c r="D173" s="344"/>
      <c r="E173" s="400"/>
      <c r="F173" s="401"/>
    </row>
    <row r="174" spans="1:6" ht="12.75">
      <c r="A174" s="339" t="s">
        <v>521</v>
      </c>
      <c r="B174" s="262" t="s">
        <v>522</v>
      </c>
      <c r="C174" s="173" t="s">
        <v>251</v>
      </c>
      <c r="D174" s="307">
        <v>1522.5</v>
      </c>
      <c r="E174" s="271"/>
      <c r="F174" s="338"/>
    </row>
    <row r="175" spans="1:6" ht="12.75">
      <c r="A175" s="339" t="s">
        <v>526</v>
      </c>
      <c r="B175" s="262" t="s">
        <v>527</v>
      </c>
      <c r="C175" s="173" t="s">
        <v>251</v>
      </c>
      <c r="D175" s="307">
        <v>173.72</v>
      </c>
      <c r="E175" s="271"/>
      <c r="F175" s="338"/>
    </row>
    <row r="176" spans="1:6" ht="12.75">
      <c r="A176" s="339" t="s">
        <v>637</v>
      </c>
      <c r="B176" s="262" t="s">
        <v>638</v>
      </c>
      <c r="C176" s="173" t="s">
        <v>251</v>
      </c>
      <c r="D176" s="307">
        <v>1034.25</v>
      </c>
      <c r="E176" s="271"/>
      <c r="F176" s="338"/>
    </row>
    <row r="177" spans="1:6" ht="12.75">
      <c r="A177" s="339" t="s">
        <v>486</v>
      </c>
      <c r="B177" s="262" t="s">
        <v>519</v>
      </c>
      <c r="C177" s="173" t="s">
        <v>251</v>
      </c>
      <c r="D177" s="307">
        <v>1818.74</v>
      </c>
      <c r="E177" s="271"/>
      <c r="F177" s="338"/>
    </row>
    <row r="178" spans="1:6" ht="12.75">
      <c r="A178" s="339" t="s">
        <v>649</v>
      </c>
      <c r="B178" s="262" t="s">
        <v>650</v>
      </c>
      <c r="C178" s="173" t="s">
        <v>251</v>
      </c>
      <c r="D178" s="307">
        <v>1186.5</v>
      </c>
      <c r="E178" s="271"/>
      <c r="F178" s="338"/>
    </row>
    <row r="179" spans="1:6" ht="12.75">
      <c r="A179" s="339" t="s">
        <v>533</v>
      </c>
      <c r="B179" s="262" t="s">
        <v>534</v>
      </c>
      <c r="C179" s="173" t="s">
        <v>251</v>
      </c>
      <c r="D179" s="307">
        <v>58.75</v>
      </c>
      <c r="E179" s="271"/>
      <c r="F179" s="338"/>
    </row>
    <row r="180" spans="1:6" ht="22.5">
      <c r="A180" s="339" t="s">
        <v>121</v>
      </c>
      <c r="B180" s="262" t="s">
        <v>531</v>
      </c>
      <c r="C180" s="173" t="s">
        <v>249</v>
      </c>
      <c r="D180" s="307">
        <v>3.33</v>
      </c>
      <c r="E180" s="271"/>
      <c r="F180" s="338"/>
    </row>
    <row r="181" spans="1:6" ht="12.75">
      <c r="A181" s="339" t="s">
        <v>410</v>
      </c>
      <c r="B181" s="262" t="s">
        <v>23</v>
      </c>
      <c r="C181" s="173" t="s">
        <v>251</v>
      </c>
      <c r="D181" s="307">
        <v>1950</v>
      </c>
      <c r="E181" s="271"/>
      <c r="F181" s="338"/>
    </row>
    <row r="182" spans="1:6" ht="12.75">
      <c r="A182" s="339" t="s">
        <v>411</v>
      </c>
      <c r="B182" s="262" t="s">
        <v>24</v>
      </c>
      <c r="C182" s="173" t="s">
        <v>251</v>
      </c>
      <c r="D182" s="307">
        <v>4150</v>
      </c>
      <c r="E182" s="271"/>
      <c r="F182" s="338"/>
    </row>
    <row r="183" spans="1:6" ht="12.75">
      <c r="A183" s="339" t="s">
        <v>510</v>
      </c>
      <c r="B183" s="262" t="s">
        <v>512</v>
      </c>
      <c r="C183" s="173" t="s">
        <v>251</v>
      </c>
      <c r="D183" s="307">
        <v>180.94</v>
      </c>
      <c r="E183" s="271"/>
      <c r="F183" s="338"/>
    </row>
    <row r="184" spans="1:6" ht="12.75">
      <c r="A184" s="339" t="s">
        <v>511</v>
      </c>
      <c r="B184" s="262" t="s">
        <v>513</v>
      </c>
      <c r="C184" s="173" t="s">
        <v>251</v>
      </c>
      <c r="D184" s="307">
        <v>598.5</v>
      </c>
      <c r="E184" s="271"/>
      <c r="F184" s="338"/>
    </row>
    <row r="185" spans="1:6" ht="22.5">
      <c r="A185" s="339" t="s">
        <v>514</v>
      </c>
      <c r="B185" s="262" t="s">
        <v>518</v>
      </c>
      <c r="C185" s="173" t="s">
        <v>251</v>
      </c>
      <c r="D185" s="307">
        <v>550.52</v>
      </c>
      <c r="E185" s="271"/>
      <c r="F185" s="338"/>
    </row>
    <row r="186" spans="1:6" ht="12.75">
      <c r="A186" s="339" t="s">
        <v>515</v>
      </c>
      <c r="B186" s="262" t="s">
        <v>520</v>
      </c>
      <c r="C186" s="173" t="s">
        <v>251</v>
      </c>
      <c r="D186" s="307">
        <v>760</v>
      </c>
      <c r="E186" s="271"/>
      <c r="F186" s="338"/>
    </row>
    <row r="187" spans="1:6" ht="12.75">
      <c r="A187" s="339" t="s">
        <v>516</v>
      </c>
      <c r="B187" s="262" t="s">
        <v>523</v>
      </c>
      <c r="C187" s="173" t="s">
        <v>251</v>
      </c>
      <c r="D187" s="307">
        <v>2940</v>
      </c>
      <c r="E187" s="271"/>
      <c r="F187" s="338"/>
    </row>
    <row r="188" spans="1:6" ht="22.5">
      <c r="A188" s="339" t="s">
        <v>517</v>
      </c>
      <c r="B188" s="262" t="s">
        <v>528</v>
      </c>
      <c r="C188" s="173" t="s">
        <v>251</v>
      </c>
      <c r="D188" s="307">
        <v>92.83</v>
      </c>
      <c r="E188" s="271"/>
      <c r="F188" s="338"/>
    </row>
    <row r="189" spans="1:6" ht="22.5">
      <c r="A189" s="339" t="s">
        <v>579</v>
      </c>
      <c r="B189" s="262" t="s">
        <v>580</v>
      </c>
      <c r="C189" s="173" t="s">
        <v>251</v>
      </c>
      <c r="D189" s="307">
        <v>1904.6</v>
      </c>
      <c r="E189" s="271"/>
      <c r="F189" s="338"/>
    </row>
    <row r="190" spans="1:6" ht="22.5">
      <c r="A190" s="339" t="s">
        <v>586</v>
      </c>
      <c r="B190" s="262" t="s">
        <v>587</v>
      </c>
      <c r="C190" s="173" t="s">
        <v>195</v>
      </c>
      <c r="D190" s="307">
        <v>2.34</v>
      </c>
      <c r="E190" s="271"/>
      <c r="F190" s="338"/>
    </row>
    <row r="191" spans="1:6" ht="12.75">
      <c r="A191" s="339" t="s">
        <v>596</v>
      </c>
      <c r="B191" s="262" t="s">
        <v>550</v>
      </c>
      <c r="C191" s="173" t="s">
        <v>251</v>
      </c>
      <c r="D191" s="307">
        <f>7.99*1.05</f>
        <v>8.3895</v>
      </c>
      <c r="E191" s="271"/>
      <c r="F191" s="338"/>
    </row>
    <row r="192" spans="1:6" ht="12.75">
      <c r="A192" s="339" t="s">
        <v>635</v>
      </c>
      <c r="B192" s="262" t="s">
        <v>632</v>
      </c>
      <c r="C192" s="173" t="s">
        <v>251</v>
      </c>
      <c r="D192" s="307">
        <v>891</v>
      </c>
      <c r="E192" s="271"/>
      <c r="F192" s="338"/>
    </row>
    <row r="193" spans="1:6" ht="22.5">
      <c r="A193" s="339" t="s">
        <v>640</v>
      </c>
      <c r="B193" s="262" t="s">
        <v>639</v>
      </c>
      <c r="C193" s="173" t="s">
        <v>251</v>
      </c>
      <c r="D193" s="307">
        <v>447.29</v>
      </c>
      <c r="E193" s="271"/>
      <c r="F193" s="338"/>
    </row>
    <row r="194" spans="1:6" ht="12.75">
      <c r="A194" s="339" t="s">
        <v>641</v>
      </c>
      <c r="B194" s="262" t="s">
        <v>644</v>
      </c>
      <c r="C194" s="173" t="s">
        <v>251</v>
      </c>
      <c r="D194" s="307">
        <v>1700</v>
      </c>
      <c r="E194" s="271"/>
      <c r="F194" s="338"/>
    </row>
    <row r="195" spans="1:6" ht="12.75">
      <c r="A195" s="339" t="s">
        <v>648</v>
      </c>
      <c r="B195" s="262" t="s">
        <v>647</v>
      </c>
      <c r="C195" s="173" t="s">
        <v>251</v>
      </c>
      <c r="D195" s="307">
        <v>787.5</v>
      </c>
      <c r="E195" s="271"/>
      <c r="F195" s="338"/>
    </row>
    <row r="196" spans="1:6" ht="12.75">
      <c r="A196" s="339" t="s">
        <v>655</v>
      </c>
      <c r="B196" s="262" t="s">
        <v>656</v>
      </c>
      <c r="C196" s="173" t="s">
        <v>251</v>
      </c>
      <c r="D196" s="307">
        <v>5.24</v>
      </c>
      <c r="E196" s="271"/>
      <c r="F196" s="338"/>
    </row>
    <row r="197" spans="1:6" ht="22.5">
      <c r="A197" s="339" t="s">
        <v>658</v>
      </c>
      <c r="B197" s="262" t="s">
        <v>657</v>
      </c>
      <c r="C197" s="173" t="s">
        <v>251</v>
      </c>
      <c r="D197" s="307">
        <v>121.7</v>
      </c>
      <c r="E197" s="271"/>
      <c r="F197" s="338"/>
    </row>
    <row r="198" spans="1:6" ht="12.75">
      <c r="A198" s="339" t="s">
        <v>19</v>
      </c>
      <c r="B198" s="262" t="s">
        <v>20</v>
      </c>
      <c r="C198" s="173" t="s">
        <v>251</v>
      </c>
      <c r="D198" s="307">
        <v>528</v>
      </c>
      <c r="E198" s="271"/>
      <c r="F198" s="338"/>
    </row>
    <row r="199" spans="1:6" ht="12.75">
      <c r="A199" s="339" t="s">
        <v>582</v>
      </c>
      <c r="B199" s="262" t="s">
        <v>583</v>
      </c>
      <c r="C199" s="173" t="s">
        <v>248</v>
      </c>
      <c r="D199" s="307">
        <v>2.2</v>
      </c>
      <c r="E199" s="271"/>
      <c r="F199" s="338"/>
    </row>
    <row r="200" spans="1:6" ht="12.75">
      <c r="A200" s="339" t="s">
        <v>203</v>
      </c>
      <c r="B200" s="262" t="s">
        <v>210</v>
      </c>
      <c r="C200" s="173" t="s">
        <v>251</v>
      </c>
      <c r="D200" s="307">
        <v>226.5</v>
      </c>
      <c r="E200" s="399" t="s">
        <v>33</v>
      </c>
      <c r="F200" s="399" t="s">
        <v>33</v>
      </c>
    </row>
    <row r="201" spans="1:6" ht="33.75">
      <c r="A201" s="339" t="s">
        <v>584</v>
      </c>
      <c r="B201" s="262" t="s">
        <v>585</v>
      </c>
      <c r="C201" s="173" t="s">
        <v>195</v>
      </c>
      <c r="D201" s="307">
        <v>6.89</v>
      </c>
      <c r="E201" s="271"/>
      <c r="F201" s="338"/>
    </row>
    <row r="202" spans="1:6" ht="12.75">
      <c r="A202" s="339" t="s">
        <v>529</v>
      </c>
      <c r="B202" s="262" t="s">
        <v>530</v>
      </c>
      <c r="C202" s="173" t="s">
        <v>251</v>
      </c>
      <c r="D202" s="307">
        <v>1396.5</v>
      </c>
      <c r="E202" s="271"/>
      <c r="F202" s="338"/>
    </row>
  </sheetData>
  <sheetProtection selectLockedCells="1" selectUnlockedCells="1"/>
  <mergeCells count="7">
    <mergeCell ref="C7:D7"/>
    <mergeCell ref="E7:F7"/>
    <mergeCell ref="A1:B1"/>
    <mergeCell ref="E2:F2"/>
    <mergeCell ref="E3:F3"/>
    <mergeCell ref="C5:D5"/>
    <mergeCell ref="E5:F5"/>
  </mergeCells>
  <hyperlinks>
    <hyperlink ref="D277" r:id="rId1" display="http://br01.webdms.sika.com/fileshow.do?documentID=49"/>
    <hyperlink ref="D264" r:id="rId2" display="http://br01.webdms.sika.com/fileshow.do?documentID=49"/>
    <hyperlink ref="D279" r:id="rId3" display="http://br01.webdms.sika.com/fileshow.do?documentID=49"/>
    <hyperlink ref="D266" r:id="rId4" display="http://br01.webdms.sika.com/fileshow.do?documentID=49"/>
    <hyperlink ref="D263" r:id="rId5" display="http://br01.webdms.sika.com/fileshow.do?documentID=49"/>
    <hyperlink ref="D250" r:id="rId6" display="http://br01.webdms.sika.com/fileshow.do?documentID=49"/>
    <hyperlink ref="D265" r:id="rId7" display="http://br01.webdms.sika.com/fileshow.do?documentID=49"/>
    <hyperlink ref="D252" r:id="rId8" display="http://br01.webdms.sika.com/fileshow.do?documentID=49"/>
    <hyperlink ref="E8" r:id="rId9" display="http://br01.webdms.sika.com/fileshow.do?documentID=49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4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D30"/>
  <sheetViews>
    <sheetView showGridLines="0" zoomScaleSheetLayoutView="100" zoomScalePageLayoutView="0" workbookViewId="0" topLeftCell="A1">
      <selection activeCell="C1" sqref="C1"/>
    </sheetView>
  </sheetViews>
  <sheetFormatPr defaultColWidth="9.421875" defaultRowHeight="12.75"/>
  <cols>
    <col min="1" max="1" width="12.7109375" style="6" customWidth="1"/>
    <col min="2" max="2" width="59.7109375" style="7" customWidth="1"/>
    <col min="3" max="3" width="10.7109375" style="7" customWidth="1"/>
    <col min="4" max="4" width="11.7109375" style="8" customWidth="1"/>
    <col min="5" max="16384" width="9.421875" style="9" customWidth="1"/>
  </cols>
  <sheetData>
    <row r="1" spans="1:4" ht="18.75">
      <c r="A1" s="413" t="s">
        <v>292</v>
      </c>
      <c r="B1" s="415"/>
      <c r="C1" s="371" t="s">
        <v>67</v>
      </c>
      <c r="D1" s="348"/>
    </row>
    <row r="2" spans="1:4" s="82" customFormat="1" ht="11.25">
      <c r="A2" s="65" t="str">
        <f>'Orçamento Sintético'!A2</f>
        <v>Objeto: Recuperação de reservatórios e implantação de sistema de aproveitamento de água pluvial</v>
      </c>
      <c r="B2" s="67"/>
      <c r="C2" s="349">
        <f>'Orçamento Sintético'!F2</f>
        <v>1</v>
      </c>
      <c r="D2" s="350"/>
    </row>
    <row r="3" spans="1:4" s="82" customFormat="1" ht="11.25">
      <c r="A3" s="70" t="str">
        <f>'Orçamento Sintético'!A3</f>
        <v>Local: Quadra 1, Lotes 860, 880 e 900, Setor Industrial Leste, Gama-DF</v>
      </c>
      <c r="B3" s="72"/>
      <c r="C3" s="349">
        <f>'Orçamento Sintético'!F3</f>
        <v>2</v>
      </c>
      <c r="D3" s="350"/>
    </row>
    <row r="4" spans="1:4" s="82" customFormat="1" ht="11.25" customHeight="1">
      <c r="A4" s="402" t="s">
        <v>68</v>
      </c>
      <c r="B4" s="376" t="s">
        <v>69</v>
      </c>
      <c r="C4" s="374" t="s">
        <v>70</v>
      </c>
      <c r="D4" s="402" t="s">
        <v>71</v>
      </c>
    </row>
    <row r="5" spans="1:4" s="82" customFormat="1" ht="11.25" customHeight="1">
      <c r="A5" s="390">
        <f>'Orçamento Sintético'!A5:B5</f>
        <v>3</v>
      </c>
      <c r="B5" s="390">
        <f>'Orçamento Sintético'!C5</f>
        <v>4</v>
      </c>
      <c r="C5" s="373">
        <f>'Orçamento Sintético'!D5</f>
        <v>5</v>
      </c>
      <c r="D5" s="390">
        <f>'Orçamento Sintético'!F5</f>
        <v>6</v>
      </c>
    </row>
    <row r="6" spans="1:4" s="82" customFormat="1" ht="11.25" customHeight="1">
      <c r="A6" s="402" t="s">
        <v>184</v>
      </c>
      <c r="B6" s="376" t="s">
        <v>72</v>
      </c>
      <c r="C6" s="374" t="s">
        <v>73</v>
      </c>
      <c r="D6" s="402" t="s">
        <v>74</v>
      </c>
    </row>
    <row r="7" spans="1:4" s="82" customFormat="1" ht="11.25" customHeight="1">
      <c r="A7" s="391">
        <f>'Orçamento Sintético'!A7:B7</f>
        <v>7</v>
      </c>
      <c r="B7" s="390">
        <f>'Orçamento Sintético'!C7</f>
        <v>8</v>
      </c>
      <c r="C7" s="373">
        <f>'Orçamento Sintético'!D7</f>
        <v>9</v>
      </c>
      <c r="D7" s="390">
        <f>'Orçamento Sintético'!F7</f>
        <v>10</v>
      </c>
    </row>
    <row r="8" spans="1:4" s="83" customFormat="1" ht="6.75">
      <c r="A8" s="109"/>
      <c r="B8" s="110"/>
      <c r="C8" s="111"/>
      <c r="D8" s="112"/>
    </row>
    <row r="9" spans="1:4" ht="12.75">
      <c r="A9" s="10" t="s">
        <v>238</v>
      </c>
      <c r="B9" s="423" t="s">
        <v>293</v>
      </c>
      <c r="C9" s="424"/>
      <c r="D9" s="10" t="s">
        <v>294</v>
      </c>
    </row>
    <row r="10" spans="1:4" ht="12.75">
      <c r="A10" s="138"/>
      <c r="B10" s="139"/>
      <c r="C10" s="139"/>
      <c r="D10" s="140"/>
    </row>
    <row r="11" spans="1:4" ht="12.75">
      <c r="A11" s="141" t="s">
        <v>295</v>
      </c>
      <c r="B11" s="142" t="s">
        <v>296</v>
      </c>
      <c r="C11" s="142"/>
      <c r="D11" s="143"/>
    </row>
    <row r="12" spans="1:4" ht="12.75">
      <c r="A12" s="144"/>
      <c r="B12" s="142"/>
      <c r="C12" s="142"/>
      <c r="D12" s="143"/>
    </row>
    <row r="13" spans="1:4" s="11" customFormat="1" ht="12.75">
      <c r="A13" s="141" t="s">
        <v>297</v>
      </c>
      <c r="B13" s="145" t="s">
        <v>298</v>
      </c>
      <c r="C13" s="145"/>
      <c r="D13" s="146">
        <f>ROUND(SUM(D15:D19),4)</f>
        <v>0.1574</v>
      </c>
    </row>
    <row r="14" spans="1:4" ht="12.75">
      <c r="A14" s="144"/>
      <c r="B14" s="142"/>
      <c r="C14" s="142"/>
      <c r="D14" s="147"/>
    </row>
    <row r="15" spans="1:4" ht="12.75">
      <c r="A15" s="148" t="s">
        <v>299</v>
      </c>
      <c r="B15" s="149" t="s">
        <v>301</v>
      </c>
      <c r="C15" s="149"/>
      <c r="D15" s="150">
        <v>0.04</v>
      </c>
    </row>
    <row r="16" spans="1:4" ht="12.75">
      <c r="A16" s="148" t="s">
        <v>300</v>
      </c>
      <c r="B16" s="151" t="s">
        <v>360</v>
      </c>
      <c r="C16" s="151"/>
      <c r="D16" s="150">
        <v>0.008</v>
      </c>
    </row>
    <row r="17" spans="1:4" ht="12.75">
      <c r="A17" s="148" t="s">
        <v>302</v>
      </c>
      <c r="B17" s="149" t="s">
        <v>361</v>
      </c>
      <c r="C17" s="149"/>
      <c r="D17" s="150">
        <v>0.0127</v>
      </c>
    </row>
    <row r="18" spans="1:4" ht="12.75">
      <c r="A18" s="148" t="s">
        <v>303</v>
      </c>
      <c r="B18" s="149" t="s">
        <v>362</v>
      </c>
      <c r="C18" s="149"/>
      <c r="D18" s="150">
        <v>0.0123</v>
      </c>
    </row>
    <row r="19" spans="1:4" ht="12.75">
      <c r="A19" s="148" t="s">
        <v>363</v>
      </c>
      <c r="B19" s="142" t="s">
        <v>304</v>
      </c>
      <c r="C19" s="142"/>
      <c r="D19" s="150">
        <v>0.0844</v>
      </c>
    </row>
    <row r="20" spans="1:4" ht="12.75">
      <c r="A20" s="144"/>
      <c r="B20" s="149"/>
      <c r="C20" s="149"/>
      <c r="D20" s="147"/>
    </row>
    <row r="21" spans="1:4" ht="12.75">
      <c r="A21" s="141" t="s">
        <v>305</v>
      </c>
      <c r="B21" s="142" t="s">
        <v>306</v>
      </c>
      <c r="C21" s="142"/>
      <c r="D21" s="147"/>
    </row>
    <row r="22" spans="1:4" ht="12.75">
      <c r="A22" s="144"/>
      <c r="B22" s="142"/>
      <c r="C22" s="142"/>
      <c r="D22" s="147"/>
    </row>
    <row r="23" spans="1:4" s="11" customFormat="1" ht="12.75">
      <c r="A23" s="141" t="s">
        <v>307</v>
      </c>
      <c r="B23" s="145" t="s">
        <v>308</v>
      </c>
      <c r="C23" s="145"/>
      <c r="D23" s="152">
        <f>SUM(D25:D27)</f>
        <v>0.0365</v>
      </c>
    </row>
    <row r="24" spans="1:4" s="11" customFormat="1" ht="12.75">
      <c r="A24" s="144"/>
      <c r="B24" s="142"/>
      <c r="C24" s="142"/>
      <c r="D24" s="147"/>
    </row>
    <row r="25" spans="1:4" s="11" customFormat="1" ht="12.75">
      <c r="A25" s="144"/>
      <c r="B25" s="142" t="s">
        <v>309</v>
      </c>
      <c r="C25" s="142"/>
      <c r="D25" s="150">
        <v>0.006500000000000001</v>
      </c>
    </row>
    <row r="26" spans="1:4" s="11" customFormat="1" ht="12.75">
      <c r="A26" s="144"/>
      <c r="B26" s="142" t="s">
        <v>310</v>
      </c>
      <c r="C26" s="142"/>
      <c r="D26" s="153">
        <v>0.03</v>
      </c>
    </row>
    <row r="27" spans="1:4" s="11" customFormat="1" ht="22.5">
      <c r="A27" s="144"/>
      <c r="B27" s="154" t="s">
        <v>355</v>
      </c>
      <c r="C27" s="154"/>
      <c r="D27" s="153">
        <f>ROUND(2%*'Orçamento Sintético'!A178,4)</f>
        <v>0</v>
      </c>
    </row>
    <row r="28" spans="1:4" s="11" customFormat="1" ht="12.75">
      <c r="A28" s="144"/>
      <c r="B28" s="142"/>
      <c r="C28" s="142"/>
      <c r="D28" s="155"/>
    </row>
    <row r="29" spans="1:4" s="11" customFormat="1" ht="12.75">
      <c r="A29" s="141" t="s">
        <v>255</v>
      </c>
      <c r="B29" s="142" t="s">
        <v>364</v>
      </c>
      <c r="C29" s="142"/>
      <c r="D29" s="146">
        <f>ROUND((((1+(D15+D16+D17))*(1+D18)*(1+D19))/(1-D23)-1),4)</f>
        <v>0.2085</v>
      </c>
    </row>
    <row r="30" spans="1:4" s="11" customFormat="1" ht="12.75">
      <c r="A30" s="156"/>
      <c r="B30" s="157"/>
      <c r="C30" s="157"/>
      <c r="D30" s="158"/>
    </row>
  </sheetData>
  <sheetProtection selectLockedCells="1" selectUnlockedCells="1"/>
  <mergeCells count="4">
    <mergeCell ref="B9:C9"/>
    <mergeCell ref="A1:B1"/>
    <mergeCell ref="C2:D2"/>
    <mergeCell ref="C3:D3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"/>
  <headerFooter alignWithMargins="0">
    <oddFooter>&amp;L&amp;8&amp;Z&amp;F&amp;R&amp;8Página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D45"/>
  <sheetViews>
    <sheetView showGridLines="0" zoomScaleSheetLayoutView="100" zoomScalePageLayoutView="0" workbookViewId="0" topLeftCell="A1">
      <selection activeCell="B34" sqref="B34"/>
    </sheetView>
  </sheetViews>
  <sheetFormatPr defaultColWidth="9.140625" defaultRowHeight="12.75"/>
  <cols>
    <col min="1" max="1" width="12.7109375" style="6" customWidth="1"/>
    <col min="2" max="2" width="59.7109375" style="7" customWidth="1"/>
    <col min="3" max="3" width="10.7109375" style="7" customWidth="1"/>
    <col min="4" max="4" width="11.7109375" style="8" customWidth="1"/>
    <col min="5" max="5" width="6.7109375" style="6" customWidth="1"/>
    <col min="6" max="16384" width="9.140625" style="9" customWidth="1"/>
  </cols>
  <sheetData>
    <row r="1" spans="1:4" s="88" customFormat="1" ht="18.75">
      <c r="A1" s="413" t="s">
        <v>311</v>
      </c>
      <c r="B1" s="415"/>
      <c r="C1" s="371" t="s">
        <v>67</v>
      </c>
      <c r="D1" s="81"/>
    </row>
    <row r="2" spans="1:4" s="88" customFormat="1" ht="11.25">
      <c r="A2" s="65" t="str">
        <f>'Orçamento Sintético'!A2</f>
        <v>Objeto: Recuperação de reservatórios e implantação de sistema de aproveitamento de água pluvial</v>
      </c>
      <c r="B2" s="67"/>
      <c r="C2" s="349">
        <f>'Orçamento Sintético'!F2</f>
        <v>1</v>
      </c>
      <c r="D2" s="350"/>
    </row>
    <row r="3" spans="1:4" s="88" customFormat="1" ht="11.25">
      <c r="A3" s="70" t="str">
        <f>'Orçamento Sintético'!A3</f>
        <v>Local: Quadra 1, Lotes 860, 880 e 900, Setor Industrial Leste, Gama-DF</v>
      </c>
      <c r="B3" s="72"/>
      <c r="C3" s="349">
        <f>'Orçamento Sintético'!F3</f>
        <v>2</v>
      </c>
      <c r="D3" s="350"/>
    </row>
    <row r="4" spans="1:4" s="88" customFormat="1" ht="11.25">
      <c r="A4" s="402" t="s">
        <v>68</v>
      </c>
      <c r="B4" s="376" t="s">
        <v>69</v>
      </c>
      <c r="C4" s="374" t="s">
        <v>70</v>
      </c>
      <c r="D4" s="402" t="s">
        <v>71</v>
      </c>
    </row>
    <row r="5" spans="1:4" s="88" customFormat="1" ht="11.25">
      <c r="A5" s="390">
        <f>'Orçamento Sintético'!A5:B5</f>
        <v>3</v>
      </c>
      <c r="B5" s="390">
        <f>'Orçamento Sintético'!C5</f>
        <v>4</v>
      </c>
      <c r="C5" s="373">
        <f>'Orçamento Sintético'!D5</f>
        <v>5</v>
      </c>
      <c r="D5" s="390">
        <f>'Orçamento Sintético'!F5</f>
        <v>6</v>
      </c>
    </row>
    <row r="6" spans="1:4" s="88" customFormat="1" ht="11.25" customHeight="1">
      <c r="A6" s="402" t="s">
        <v>184</v>
      </c>
      <c r="B6" s="376" t="s">
        <v>72</v>
      </c>
      <c r="C6" s="374" t="s">
        <v>73</v>
      </c>
      <c r="D6" s="402" t="s">
        <v>74</v>
      </c>
    </row>
    <row r="7" spans="1:4" s="88" customFormat="1" ht="11.25" customHeight="1">
      <c r="A7" s="391">
        <f>'Orçamento Sintético'!A7:B7</f>
        <v>7</v>
      </c>
      <c r="B7" s="390">
        <f>'Orçamento Sintético'!C7</f>
        <v>8</v>
      </c>
      <c r="C7" s="373">
        <f>'Orçamento Sintético'!D7</f>
        <v>9</v>
      </c>
      <c r="D7" s="390">
        <f>'Orçamento Sintético'!F7</f>
        <v>10</v>
      </c>
    </row>
    <row r="8" spans="1:4" s="89" customFormat="1" ht="6.75">
      <c r="A8" s="113"/>
      <c r="B8" s="114"/>
      <c r="C8" s="115"/>
      <c r="D8" s="116"/>
    </row>
    <row r="9" spans="1:4" ht="12.75">
      <c r="A9" s="10" t="s">
        <v>312</v>
      </c>
      <c r="B9" s="423" t="s">
        <v>239</v>
      </c>
      <c r="C9" s="424"/>
      <c r="D9" s="10" t="s">
        <v>294</v>
      </c>
    </row>
    <row r="10" spans="1:4" ht="12.75" customHeight="1">
      <c r="A10" s="427" t="s">
        <v>313</v>
      </c>
      <c r="B10" s="427"/>
      <c r="C10" s="427"/>
      <c r="D10" s="427"/>
    </row>
    <row r="11" spans="1:4" ht="12.75">
      <c r="A11" s="14" t="s">
        <v>297</v>
      </c>
      <c r="B11" s="90" t="s">
        <v>314</v>
      </c>
      <c r="C11" s="94"/>
      <c r="D11" s="15">
        <v>0.2</v>
      </c>
    </row>
    <row r="12" spans="1:4" ht="12.75">
      <c r="A12" s="12" t="s">
        <v>315</v>
      </c>
      <c r="B12" s="84" t="s">
        <v>316</v>
      </c>
      <c r="C12" s="85"/>
      <c r="D12" s="13">
        <v>0.015</v>
      </c>
    </row>
    <row r="13" spans="1:4" ht="12.75">
      <c r="A13" s="12" t="s">
        <v>317</v>
      </c>
      <c r="B13" s="84" t="s">
        <v>318</v>
      </c>
      <c r="C13" s="85"/>
      <c r="D13" s="13">
        <v>0.01</v>
      </c>
    </row>
    <row r="14" spans="1:4" ht="12.75">
      <c r="A14" s="12" t="s">
        <v>319</v>
      </c>
      <c r="B14" s="84" t="s">
        <v>320</v>
      </c>
      <c r="C14" s="85"/>
      <c r="D14" s="13">
        <v>0.002</v>
      </c>
    </row>
    <row r="15" spans="1:4" ht="12.75">
      <c r="A15" s="12" t="s">
        <v>321</v>
      </c>
      <c r="B15" s="84" t="s">
        <v>322</v>
      </c>
      <c r="C15" s="85"/>
      <c r="D15" s="13">
        <v>0.006</v>
      </c>
    </row>
    <row r="16" spans="1:4" ht="12.75">
      <c r="A16" s="12" t="s">
        <v>323</v>
      </c>
      <c r="B16" s="86" t="s">
        <v>324</v>
      </c>
      <c r="C16" s="87"/>
      <c r="D16" s="13">
        <v>0.025</v>
      </c>
    </row>
    <row r="17" spans="1:4" ht="12.75">
      <c r="A17" s="12" t="s">
        <v>325</v>
      </c>
      <c r="B17" s="91" t="s">
        <v>326</v>
      </c>
      <c r="C17" s="95"/>
      <c r="D17" s="13">
        <v>0.03</v>
      </c>
    </row>
    <row r="18" spans="1:4" ht="12.75">
      <c r="A18" s="12" t="s">
        <v>327</v>
      </c>
      <c r="B18" s="86" t="s">
        <v>328</v>
      </c>
      <c r="C18" s="87"/>
      <c r="D18" s="13">
        <v>0.08</v>
      </c>
    </row>
    <row r="19" spans="1:4" ht="12.75">
      <c r="A19" s="16" t="s">
        <v>329</v>
      </c>
      <c r="B19" s="92" t="s">
        <v>330</v>
      </c>
      <c r="C19" s="96"/>
      <c r="D19" s="17">
        <v>0.01</v>
      </c>
    </row>
    <row r="20" spans="1:4" ht="12.75">
      <c r="A20" s="18" t="s">
        <v>331</v>
      </c>
      <c r="B20" s="93" t="s">
        <v>332</v>
      </c>
      <c r="C20" s="97"/>
      <c r="D20" s="19">
        <f>SUM(D11:D19)</f>
        <v>0.37800000000000006</v>
      </c>
    </row>
    <row r="21" spans="1:4" ht="12.75" customHeight="1">
      <c r="A21" s="428" t="s">
        <v>333</v>
      </c>
      <c r="B21" s="428"/>
      <c r="C21" s="428"/>
      <c r="D21" s="428"/>
    </row>
    <row r="22" spans="1:4" ht="12.75">
      <c r="A22" s="14" t="s">
        <v>307</v>
      </c>
      <c r="B22" s="90" t="s">
        <v>334</v>
      </c>
      <c r="C22" s="94"/>
      <c r="D22" s="15">
        <v>0.1776</v>
      </c>
    </row>
    <row r="23" spans="1:4" ht="12.75">
      <c r="A23" s="12" t="s">
        <v>335</v>
      </c>
      <c r="B23" s="84" t="s">
        <v>336</v>
      </c>
      <c r="C23" s="85"/>
      <c r="D23" s="13">
        <v>0.0341</v>
      </c>
    </row>
    <row r="24" spans="1:4" ht="12.75">
      <c r="A24" s="12" t="s">
        <v>337</v>
      </c>
      <c r="B24" s="84" t="s">
        <v>338</v>
      </c>
      <c r="C24" s="85"/>
      <c r="D24" s="13">
        <v>0.009</v>
      </c>
    </row>
    <row r="25" spans="1:4" ht="12.75">
      <c r="A25" s="12" t="s">
        <v>339</v>
      </c>
      <c r="B25" s="84" t="s">
        <v>340</v>
      </c>
      <c r="C25" s="85"/>
      <c r="D25" s="13">
        <v>0.106</v>
      </c>
    </row>
    <row r="26" spans="1:4" ht="12.75">
      <c r="A26" s="12" t="s">
        <v>341</v>
      </c>
      <c r="B26" s="84" t="s">
        <v>342</v>
      </c>
      <c r="C26" s="85"/>
      <c r="D26" s="13">
        <v>0.0007</v>
      </c>
    </row>
    <row r="27" spans="1:4" ht="12.75">
      <c r="A27" s="12" t="s">
        <v>343</v>
      </c>
      <c r="B27" s="84" t="s">
        <v>344</v>
      </c>
      <c r="C27" s="85"/>
      <c r="D27" s="13">
        <v>0.0071</v>
      </c>
    </row>
    <row r="28" spans="1:4" ht="12.75">
      <c r="A28" s="12" t="s">
        <v>345</v>
      </c>
      <c r="B28" s="84" t="s">
        <v>346</v>
      </c>
      <c r="C28" s="85"/>
      <c r="D28" s="13">
        <v>0.0131</v>
      </c>
    </row>
    <row r="29" spans="1:4" ht="12.75">
      <c r="A29" s="12" t="s">
        <v>347</v>
      </c>
      <c r="B29" s="130" t="s">
        <v>348</v>
      </c>
      <c r="C29" s="98"/>
      <c r="D29" s="13">
        <v>0.0011</v>
      </c>
    </row>
    <row r="30" spans="1:4" ht="12.75">
      <c r="A30" s="12" t="s">
        <v>349</v>
      </c>
      <c r="B30" s="130" t="s">
        <v>350</v>
      </c>
      <c r="C30" s="98"/>
      <c r="D30" s="13">
        <v>0.1257</v>
      </c>
    </row>
    <row r="31" spans="1:4" ht="12.75">
      <c r="A31" s="16" t="s">
        <v>351</v>
      </c>
      <c r="B31" s="131" t="s">
        <v>352</v>
      </c>
      <c r="C31" s="99"/>
      <c r="D31" s="17">
        <v>0.0003</v>
      </c>
    </row>
    <row r="32" spans="1:4" ht="12.75">
      <c r="A32" s="18" t="s">
        <v>211</v>
      </c>
      <c r="B32" s="93" t="s">
        <v>212</v>
      </c>
      <c r="C32" s="97"/>
      <c r="D32" s="19">
        <f>SUM(D22:D31)</f>
        <v>0.47469999999999996</v>
      </c>
    </row>
    <row r="33" spans="1:4" ht="12.75" customHeight="1">
      <c r="A33" s="428" t="s">
        <v>213</v>
      </c>
      <c r="B33" s="428"/>
      <c r="C33" s="428"/>
      <c r="D33" s="428"/>
    </row>
    <row r="34" spans="1:4" ht="12.75">
      <c r="A34" s="14" t="s">
        <v>214</v>
      </c>
      <c r="B34" s="90" t="s">
        <v>215</v>
      </c>
      <c r="C34" s="94"/>
      <c r="D34" s="15">
        <v>0.0394</v>
      </c>
    </row>
    <row r="35" spans="1:4" ht="12.75">
      <c r="A35" s="12" t="s">
        <v>216</v>
      </c>
      <c r="B35" s="84" t="s">
        <v>217</v>
      </c>
      <c r="C35" s="85"/>
      <c r="D35" s="13">
        <v>0.0009</v>
      </c>
    </row>
    <row r="36" spans="1:4" ht="12.75">
      <c r="A36" s="12" t="s">
        <v>218</v>
      </c>
      <c r="B36" s="84" t="s">
        <v>219</v>
      </c>
      <c r="C36" s="85"/>
      <c r="D36" s="13">
        <v>0.0133</v>
      </c>
    </row>
    <row r="37" spans="1:4" ht="12.75">
      <c r="A37" s="12" t="s">
        <v>220</v>
      </c>
      <c r="B37" s="84" t="s">
        <v>221</v>
      </c>
      <c r="C37" s="85"/>
      <c r="D37" s="13">
        <v>0.0484</v>
      </c>
    </row>
    <row r="38" spans="1:4" ht="12.75">
      <c r="A38" s="16" t="s">
        <v>222</v>
      </c>
      <c r="B38" s="92" t="s">
        <v>223</v>
      </c>
      <c r="C38" s="96"/>
      <c r="D38" s="17">
        <v>0.0033</v>
      </c>
    </row>
    <row r="39" spans="1:4" ht="12.75">
      <c r="A39" s="18" t="s">
        <v>224</v>
      </c>
      <c r="B39" s="93" t="s">
        <v>212</v>
      </c>
      <c r="C39" s="97"/>
      <c r="D39" s="19">
        <f>SUM(D34:D38)</f>
        <v>0.10529999999999999</v>
      </c>
    </row>
    <row r="40" spans="1:4" ht="12.75" customHeight="1">
      <c r="A40" s="428" t="s">
        <v>225</v>
      </c>
      <c r="B40" s="428"/>
      <c r="C40" s="428"/>
      <c r="D40" s="428"/>
    </row>
    <row r="41" spans="1:4" ht="12.75">
      <c r="A41" s="14" t="s">
        <v>226</v>
      </c>
      <c r="B41" s="90" t="s">
        <v>227</v>
      </c>
      <c r="C41" s="94"/>
      <c r="D41" s="15">
        <f>ROUND(D20*D32,4)</f>
        <v>0.1794</v>
      </c>
    </row>
    <row r="42" spans="1:4" ht="12.75">
      <c r="A42" s="16" t="s">
        <v>228</v>
      </c>
      <c r="B42" s="92" t="s">
        <v>229</v>
      </c>
      <c r="C42" s="96"/>
      <c r="D42" s="17">
        <f>ROUND(D18*D34+D20*D35,4)</f>
        <v>0.0035</v>
      </c>
    </row>
    <row r="43" spans="1:4" ht="12.75">
      <c r="A43" s="18" t="s">
        <v>230</v>
      </c>
      <c r="B43" s="93" t="s">
        <v>231</v>
      </c>
      <c r="C43" s="97"/>
      <c r="D43" s="19">
        <f>SUM(D41:D42)</f>
        <v>0.1829</v>
      </c>
    </row>
    <row r="44" spans="1:4" ht="12.75">
      <c r="A44" s="12"/>
      <c r="B44" s="92"/>
      <c r="C44" s="96"/>
      <c r="D44" s="13"/>
    </row>
    <row r="45" spans="1:4" ht="12.75" customHeight="1">
      <c r="A45" s="425" t="s">
        <v>232</v>
      </c>
      <c r="B45" s="426"/>
      <c r="C45" s="100"/>
      <c r="D45" s="20">
        <f>D20+D32+D39+D43</f>
        <v>1.1409</v>
      </c>
    </row>
  </sheetData>
  <sheetProtection selectLockedCells="1" selectUnlockedCells="1"/>
  <mergeCells count="9">
    <mergeCell ref="A1:B1"/>
    <mergeCell ref="B9:C9"/>
    <mergeCell ref="A40:D40"/>
    <mergeCell ref="C2:D2"/>
    <mergeCell ref="C3:D3"/>
    <mergeCell ref="A45:B45"/>
    <mergeCell ref="A10:D10"/>
    <mergeCell ref="A21:D21"/>
    <mergeCell ref="A33:D33"/>
  </mergeCells>
  <printOptions horizontalCentered="1"/>
  <pageMargins left="0.7874015748031497" right="0.7874015748031497" top="0.5905511811023623" bottom="0.5905511811023623" header="0.5118110236220472" footer="0.1968503937007874"/>
  <pageSetup horizontalDpi="600" verticalDpi="600" orientation="portrait" paperSize="9" scale="85" r:id="rId1"/>
  <headerFooter alignWithMargins="0">
    <oddFooter>&amp;L&amp;8&amp;Z&amp;F&amp;R&amp;8Página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12.7109375" style="1" customWidth="1"/>
    <col min="2" max="2" width="35.7109375" style="1" customWidth="1"/>
    <col min="3" max="3" width="12.7109375" style="1" customWidth="1"/>
    <col min="4" max="4" width="9.7109375" style="1" customWidth="1"/>
    <col min="5" max="6" width="11.421875" style="2" customWidth="1"/>
    <col min="7" max="7" width="13.140625" style="2" bestFit="1" customWidth="1"/>
    <col min="8" max="16384" width="9.140625" style="4" customWidth="1"/>
  </cols>
  <sheetData>
    <row r="1" spans="1:7" ht="18.75">
      <c r="A1" s="413" t="s">
        <v>233</v>
      </c>
      <c r="B1" s="414"/>
      <c r="C1" s="414"/>
      <c r="D1" s="415"/>
      <c r="E1" s="191"/>
      <c r="F1" s="47"/>
      <c r="G1" s="103"/>
    </row>
    <row r="2" spans="1:7" s="58" customFormat="1" ht="11.25">
      <c r="A2" s="429" t="str">
        <f>'Orçamento Sintético'!A2</f>
        <v>Objeto: Recuperação de reservatórios e implantação de sistema de aproveitamento de água pluvial</v>
      </c>
      <c r="B2" s="430"/>
      <c r="C2" s="430"/>
      <c r="D2" s="431"/>
      <c r="E2" s="69"/>
      <c r="F2" s="66"/>
      <c r="G2" s="68"/>
    </row>
    <row r="3" spans="1:7" s="58" customFormat="1" ht="11.25">
      <c r="A3" s="432" t="str">
        <f>'Orçamento Sintético'!A3</f>
        <v>Local: Quadra 1, Lotes 860, 880 e 900, Setor Industrial Leste, Gama-DF</v>
      </c>
      <c r="B3" s="433"/>
      <c r="C3" s="433"/>
      <c r="D3" s="434"/>
      <c r="E3" s="192"/>
      <c r="F3" s="101"/>
      <c r="G3" s="104"/>
    </row>
    <row r="4" spans="1:7" s="58" customFormat="1" ht="11.25">
      <c r="A4" s="402" t="s">
        <v>68</v>
      </c>
      <c r="B4" s="376" t="s">
        <v>69</v>
      </c>
      <c r="C4" s="374" t="s">
        <v>70</v>
      </c>
      <c r="D4" s="402" t="s">
        <v>71</v>
      </c>
      <c r="E4" s="192"/>
      <c r="F4" s="101"/>
      <c r="G4" s="104"/>
    </row>
    <row r="5" spans="1:7" s="58" customFormat="1" ht="11.25">
      <c r="A5" s="390">
        <f>'Orçamento Sintético'!A5:B5</f>
        <v>3</v>
      </c>
      <c r="B5" s="390">
        <f>'Orçamento Sintético'!C5</f>
        <v>4</v>
      </c>
      <c r="C5" s="373">
        <f>'Orçamento Sintético'!D5</f>
        <v>5</v>
      </c>
      <c r="D5" s="390">
        <f>'Orçamento Sintético'!F5</f>
        <v>6</v>
      </c>
      <c r="E5" s="192"/>
      <c r="F5" s="101"/>
      <c r="G5" s="104"/>
    </row>
    <row r="6" spans="1:7" s="58" customFormat="1" ht="11.25" customHeight="1">
      <c r="A6" s="402" t="s">
        <v>184</v>
      </c>
      <c r="B6" s="376" t="s">
        <v>72</v>
      </c>
      <c r="C6" s="374" t="s">
        <v>73</v>
      </c>
      <c r="D6" s="402" t="s">
        <v>74</v>
      </c>
      <c r="E6" s="69"/>
      <c r="F6" s="66"/>
      <c r="G6" s="68"/>
    </row>
    <row r="7" spans="1:7" s="58" customFormat="1" ht="11.25" customHeight="1">
      <c r="A7" s="391">
        <f>'Orçamento Sintético'!A7:B7</f>
        <v>7</v>
      </c>
      <c r="B7" s="390">
        <f>'Orçamento Sintético'!C7</f>
        <v>8</v>
      </c>
      <c r="C7" s="373">
        <f>'Orçamento Sintético'!D7</f>
        <v>9</v>
      </c>
      <c r="D7" s="390">
        <f>'Orçamento Sintético'!F7</f>
        <v>10</v>
      </c>
      <c r="E7" s="193"/>
      <c r="F7" s="102"/>
      <c r="G7" s="105"/>
    </row>
    <row r="8" spans="1:7" s="80" customFormat="1" ht="6.75">
      <c r="A8" s="113"/>
      <c r="B8" s="117"/>
      <c r="C8" s="117"/>
      <c r="D8" s="118"/>
      <c r="E8" s="194"/>
      <c r="F8" s="106"/>
      <c r="G8" s="107"/>
    </row>
    <row r="9" spans="1:7" ht="12.75" customHeight="1">
      <c r="A9" s="459" t="s">
        <v>238</v>
      </c>
      <c r="B9" s="459" t="s">
        <v>239</v>
      </c>
      <c r="C9" s="459" t="s">
        <v>366</v>
      </c>
      <c r="D9" s="457" t="s">
        <v>294</v>
      </c>
      <c r="E9" s="453" t="s">
        <v>365</v>
      </c>
      <c r="F9" s="454"/>
      <c r="G9" s="455"/>
    </row>
    <row r="10" spans="1:7" ht="12.75" customHeight="1">
      <c r="A10" s="460"/>
      <c r="B10" s="460"/>
      <c r="C10" s="460"/>
      <c r="D10" s="458"/>
      <c r="E10" s="119" t="s">
        <v>367</v>
      </c>
      <c r="F10" s="119" t="s">
        <v>368</v>
      </c>
      <c r="G10" s="119" t="s">
        <v>426</v>
      </c>
    </row>
    <row r="11" spans="1:7" ht="12.75">
      <c r="A11" s="446" t="str">
        <f>'Orçamento Sintético'!B10</f>
        <v>01.00.000</v>
      </c>
      <c r="B11" s="442" t="str">
        <f>VLOOKUP(A11,'Orçamento Sintético'!$B:$G,2,0)</f>
        <v>SERVIÇOS TÉCNICOS-PROFISSIONAIS</v>
      </c>
      <c r="C11" s="451">
        <f>ROUND(VLOOKUP(A11,'Orçamento Sintético'!$B:$G,6,0)*(1+'Orçamento Sintético'!$A$179),2)</f>
        <v>273.73</v>
      </c>
      <c r="D11" s="435">
        <f>ROUND(C11/C$59,5)</f>
        <v>0.00133</v>
      </c>
      <c r="E11" s="345">
        <f>E13</f>
        <v>273.73</v>
      </c>
      <c r="F11" s="345">
        <f>F13</f>
        <v>0</v>
      </c>
      <c r="G11" s="345">
        <f>ROUND($C11-(SUM($E11:F11)),2)</f>
        <v>0</v>
      </c>
    </row>
    <row r="12" spans="1:7" ht="12.75">
      <c r="A12" s="470"/>
      <c r="B12" s="443"/>
      <c r="C12" s="462"/>
      <c r="D12" s="461"/>
      <c r="E12" s="346">
        <f>ROUND(E11/$C11,4)</f>
        <v>1</v>
      </c>
      <c r="F12" s="346">
        <f>ROUND(F11/$C11,4)</f>
        <v>0</v>
      </c>
      <c r="G12" s="347">
        <f>ROUND(G11/$C11,4)</f>
        <v>0</v>
      </c>
    </row>
    <row r="13" spans="1:7" ht="12.75">
      <c r="A13" s="444" t="str">
        <f>'Orçamento Sintético'!B11</f>
        <v>01.08.000</v>
      </c>
      <c r="B13" s="441" t="str">
        <f>VLOOKUP(A13,'Orçamento Sintético'!$B:$G,2,0)</f>
        <v>TAXAS E EMOLUMENTOS</v>
      </c>
      <c r="C13" s="439">
        <f>ROUND(VLOOKUP(A13,'Orçamento Sintético'!$B:$G,6,0)*(1+'Orçamento Sintético'!$A$179),2)</f>
        <v>273.73</v>
      </c>
      <c r="D13" s="437">
        <f>ROUND(C13/C$59,5)</f>
        <v>0.00133</v>
      </c>
      <c r="E13" s="132">
        <f>ROUND($C13*E14,2)</f>
        <v>273.73</v>
      </c>
      <c r="F13" s="132">
        <f>ROUND($C13*F14,2)</f>
        <v>0</v>
      </c>
      <c r="G13" s="132">
        <f>ROUND($C13-(SUM($E13:F13)),2)</f>
        <v>0</v>
      </c>
    </row>
    <row r="14" spans="1:7" ht="12.75">
      <c r="A14" s="444"/>
      <c r="B14" s="441"/>
      <c r="C14" s="456"/>
      <c r="D14" s="438"/>
      <c r="E14" s="133">
        <v>1</v>
      </c>
      <c r="F14" s="133"/>
      <c r="G14" s="134">
        <f>ROUND(G13/$C13,4)</f>
        <v>0</v>
      </c>
    </row>
    <row r="15" spans="1:7" ht="12.75">
      <c r="A15" s="446" t="str">
        <f>'Orçamento Sintético'!B13</f>
        <v>02.00.000</v>
      </c>
      <c r="B15" s="466" t="str">
        <f>VLOOKUP(A15,'Orçamento Sintético'!$B:$G,2,0)</f>
        <v>SERVIÇOS PRELIMINARES</v>
      </c>
      <c r="C15" s="451">
        <f>ROUND(VLOOKUP(A15,'Orçamento Sintético'!$B:$G,6,0)*(1+'Orçamento Sintético'!$A$179),2)</f>
        <v>4213.56</v>
      </c>
      <c r="D15" s="435">
        <f>ROUND(C15/C$59,5)</f>
        <v>0.02052</v>
      </c>
      <c r="E15" s="345">
        <f>E17+E19+E21</f>
        <v>1480.06</v>
      </c>
      <c r="F15" s="345">
        <f>F17+F19+F21</f>
        <v>1366.74</v>
      </c>
      <c r="G15" s="345">
        <f>ROUND($C15-(SUM($E15:F15)),2)</f>
        <v>1366.76</v>
      </c>
    </row>
    <row r="16" spans="1:7" ht="12.75">
      <c r="A16" s="447"/>
      <c r="B16" s="467"/>
      <c r="C16" s="463"/>
      <c r="D16" s="436"/>
      <c r="E16" s="346">
        <f>ROUND(E15/$C15,4)</f>
        <v>0.3513</v>
      </c>
      <c r="F16" s="346">
        <f>ROUND(F15/$C15,4)</f>
        <v>0.3244</v>
      </c>
      <c r="G16" s="347">
        <f>ROUND(G15/$C15,4)</f>
        <v>0.3244</v>
      </c>
    </row>
    <row r="17" spans="1:7" ht="12.75" customHeight="1">
      <c r="A17" s="444" t="str">
        <f>'Orçamento Sintético'!B15</f>
        <v>02.01.400</v>
      </c>
      <c r="B17" s="441" t="str">
        <f>VLOOKUP(A17,'Orçamento Sintético'!$B:$G,2,0)</f>
        <v>Proteção e Sinalização</v>
      </c>
      <c r="C17" s="439">
        <f>ROUND(VLOOKUP(A17,'Orçamento Sintético'!$B:$G,6,0)*(1+'Orçamento Sintético'!$A$179),2)</f>
        <v>68.06</v>
      </c>
      <c r="D17" s="437">
        <f>ROUND(C17/C$59,5)</f>
        <v>0.00033</v>
      </c>
      <c r="E17" s="132">
        <f>ROUND($C17*E18,2)</f>
        <v>68.06</v>
      </c>
      <c r="F17" s="132">
        <f>ROUND($C17*F18,2)</f>
        <v>0</v>
      </c>
      <c r="G17" s="132">
        <f>ROUND($C17-(SUM($E17:F17)),2)</f>
        <v>0</v>
      </c>
    </row>
    <row r="18" spans="1:7" ht="12.75">
      <c r="A18" s="444"/>
      <c r="B18" s="441"/>
      <c r="C18" s="456"/>
      <c r="D18" s="438"/>
      <c r="E18" s="133">
        <v>1</v>
      </c>
      <c r="F18" s="133"/>
      <c r="G18" s="134">
        <f>ROUND(G17/$C17,4)</f>
        <v>0</v>
      </c>
    </row>
    <row r="19" spans="1:7" ht="12.75" customHeight="1">
      <c r="A19" s="464" t="str">
        <f>'Orçamento Sintético'!B18</f>
        <v>02.02.100</v>
      </c>
      <c r="B19" s="468" t="str">
        <f>VLOOKUP(A19,'Orçamento Sintético'!$B:$G,2,0)</f>
        <v>Demolição convencional</v>
      </c>
      <c r="C19" s="439">
        <f>ROUND(VLOOKUP(A19,'Orçamento Sintético'!$B:$G,6,0)*(1+'Orçamento Sintético'!$A$179),2)</f>
        <v>728.63</v>
      </c>
      <c r="D19" s="437">
        <f>ROUND(C19/C$59,5)</f>
        <v>0.00355</v>
      </c>
      <c r="E19" s="132">
        <f>ROUND($C19*E20,2)</f>
        <v>728.63</v>
      </c>
      <c r="F19" s="132">
        <f>ROUND($C19*F20,2)</f>
        <v>0</v>
      </c>
      <c r="G19" s="132">
        <f>ROUND($C19-(SUM($E19:F19)),2)</f>
        <v>0</v>
      </c>
    </row>
    <row r="20" spans="1:7" ht="12.75">
      <c r="A20" s="465"/>
      <c r="B20" s="469"/>
      <c r="C20" s="456"/>
      <c r="D20" s="438"/>
      <c r="E20" s="133">
        <v>1</v>
      </c>
      <c r="F20" s="133"/>
      <c r="G20" s="134">
        <f>ROUND(G19/$C19,4)</f>
        <v>0</v>
      </c>
    </row>
    <row r="21" spans="1:7" ht="12.75" customHeight="1">
      <c r="A21" s="444" t="str">
        <f>'Orçamento Sintético'!B22</f>
        <v>02.02.300</v>
      </c>
      <c r="B21" s="441" t="str">
        <f>VLOOKUP(A21,'Orçamento Sintético'!$B:$G,2,0)</f>
        <v>Remoções</v>
      </c>
      <c r="C21" s="439">
        <f>ROUND(VLOOKUP(A21,'Orçamento Sintético'!$B:$G,6,0)*(1+'Orçamento Sintético'!$A$179),2)</f>
        <v>3416.86</v>
      </c>
      <c r="D21" s="437">
        <f>ROUND(C21/C$59,5)</f>
        <v>0.01664</v>
      </c>
      <c r="E21" s="132">
        <f>ROUND($C21*E22,2)</f>
        <v>683.37</v>
      </c>
      <c r="F21" s="132">
        <f>ROUND($C21*F22,2)</f>
        <v>1366.74</v>
      </c>
      <c r="G21" s="132">
        <f>ROUND($C21-(SUM($E21:F21)),2)</f>
        <v>1366.75</v>
      </c>
    </row>
    <row r="22" spans="1:7" ht="12.75">
      <c r="A22" s="444"/>
      <c r="B22" s="441"/>
      <c r="C22" s="456"/>
      <c r="D22" s="438"/>
      <c r="E22" s="133">
        <v>0.2</v>
      </c>
      <c r="F22" s="133">
        <v>0.4</v>
      </c>
      <c r="G22" s="134">
        <f>ROUND(G21/$C21,4)</f>
        <v>0.4</v>
      </c>
    </row>
    <row r="23" spans="1:7" ht="12.75" customHeight="1">
      <c r="A23" s="446" t="str">
        <f>'Orçamento Sintético'!B32</f>
        <v>03.00.000</v>
      </c>
      <c r="B23" s="466" t="str">
        <f>VLOOKUP(A23,'Orçamento Sintético'!$B:$G,2,0)</f>
        <v>FUNDAÇÕES E ESTRUTURAS</v>
      </c>
      <c r="C23" s="451">
        <f>ROUND(VLOOKUP(A23,'Orçamento Sintético'!$B:$G,6,0)*(1+'Orçamento Sintético'!$A$179),2)</f>
        <v>21961.68</v>
      </c>
      <c r="D23" s="435">
        <f>ROUND(C23/C$59,5)</f>
        <v>0.10696</v>
      </c>
      <c r="E23" s="345">
        <f>E25</f>
        <v>1098.08</v>
      </c>
      <c r="F23" s="345">
        <f>F25</f>
        <v>12078.92</v>
      </c>
      <c r="G23" s="345">
        <f>ROUND($C23-(SUM($E23:F23)),2)</f>
        <v>8784.68</v>
      </c>
    </row>
    <row r="24" spans="1:7" ht="12.75">
      <c r="A24" s="447"/>
      <c r="B24" s="467"/>
      <c r="C24" s="463"/>
      <c r="D24" s="436"/>
      <c r="E24" s="346">
        <f>ROUND(E23/$C23,4)</f>
        <v>0.05</v>
      </c>
      <c r="F24" s="346">
        <f>ROUND(F23/$C23,4)</f>
        <v>0.55</v>
      </c>
      <c r="G24" s="347">
        <f>ROUND(G23/$C23,4)</f>
        <v>0.4</v>
      </c>
    </row>
    <row r="25" spans="1:7" ht="12.75" customHeight="1">
      <c r="A25" s="450" t="str">
        <f>'Orçamento Sintético'!B34</f>
        <v>03.02.100</v>
      </c>
      <c r="B25" s="441" t="str">
        <f>VLOOKUP(A25,'Orçamento Sintético'!$B:$G,2,0)</f>
        <v>Concreto Armado</v>
      </c>
      <c r="C25" s="439">
        <f>ROUND(VLOOKUP(A25,'Orçamento Sintético'!$B:$G,6,0)*(1+'Orçamento Sintético'!$A$179),2)</f>
        <v>21961.68</v>
      </c>
      <c r="D25" s="437">
        <f>ROUND(C25/C$59,5)</f>
        <v>0.10696</v>
      </c>
      <c r="E25" s="132">
        <f>ROUND($C25*E26,2)</f>
        <v>1098.08</v>
      </c>
      <c r="F25" s="132">
        <f>ROUND($C25*F26,2)</f>
        <v>12078.92</v>
      </c>
      <c r="G25" s="132">
        <f>ROUND($C25-(SUM($E25:F25)),2)</f>
        <v>8784.68</v>
      </c>
    </row>
    <row r="26" spans="1:7" ht="12.75">
      <c r="A26" s="450"/>
      <c r="B26" s="441"/>
      <c r="C26" s="440"/>
      <c r="D26" s="438"/>
      <c r="E26" s="133">
        <v>0.05</v>
      </c>
      <c r="F26" s="133">
        <v>0.55</v>
      </c>
      <c r="G26" s="134">
        <f>ROUND(G25/$C25,4)</f>
        <v>0.4</v>
      </c>
    </row>
    <row r="27" spans="1:7" ht="12.75">
      <c r="A27" s="446" t="str">
        <f>'Orçamento Sintético'!B50</f>
        <v>04.00.000</v>
      </c>
      <c r="B27" s="442" t="str">
        <f>VLOOKUP(A27,'Orçamento Sintético'!$B:$G,2,0)</f>
        <v>ARQUITETURA E ELEMENTOS DE URBANISMO</v>
      </c>
      <c r="C27" s="451">
        <f>ROUND(VLOOKUP(A27,'Orçamento Sintético'!$B:$G,6,0)*(1+'Orçamento Sintético'!$A$179),2)</f>
        <v>40891.95</v>
      </c>
      <c r="D27" s="435">
        <f>ROUND(C27/C$59,5)</f>
        <v>0.19916</v>
      </c>
      <c r="E27" s="345">
        <f>E29+E31+E33</f>
        <v>0</v>
      </c>
      <c r="F27" s="345">
        <f>F29+F31+F33</f>
        <v>24363.620000000003</v>
      </c>
      <c r="G27" s="345">
        <f>ROUND($C27-(SUM($E27:F27)),2)</f>
        <v>16528.33</v>
      </c>
    </row>
    <row r="28" spans="1:7" ht="12.75">
      <c r="A28" s="447"/>
      <c r="B28" s="443"/>
      <c r="C28" s="452"/>
      <c r="D28" s="436"/>
      <c r="E28" s="346">
        <f>ROUND(E27/$C27,4)</f>
        <v>0</v>
      </c>
      <c r="F28" s="346">
        <f>ROUND(F27/$C27,4)</f>
        <v>0.5958</v>
      </c>
      <c r="G28" s="347">
        <f>ROUND(G27/$C27,4)</f>
        <v>0.4042</v>
      </c>
    </row>
    <row r="29" spans="1:7" ht="12.75" customHeight="1">
      <c r="A29" s="444" t="str">
        <f>'Orçamento Sintético'!B51</f>
        <v>04.01.200</v>
      </c>
      <c r="B29" s="441" t="str">
        <f>VLOOKUP(A29,'Orçamento Sintético'!$B:$G,2,0)</f>
        <v>Esquadrias</v>
      </c>
      <c r="C29" s="439">
        <f>ROUND(VLOOKUP(A29,'Orçamento Sintético'!$B:$G,6,0)*(1+'Orçamento Sintético'!$A$179),2)</f>
        <v>1715.57</v>
      </c>
      <c r="D29" s="437">
        <f>ROUND(C29/C$59,5)</f>
        <v>0.00836</v>
      </c>
      <c r="E29" s="132">
        <f>ROUND($C29*E30,2)</f>
        <v>0</v>
      </c>
      <c r="F29" s="132">
        <f>ROUND($C29*F30,2)</f>
        <v>857.79</v>
      </c>
      <c r="G29" s="132">
        <f>ROUND($C29-(SUM($E29:F29)),2)</f>
        <v>857.78</v>
      </c>
    </row>
    <row r="30" spans="1:7" ht="12.75">
      <c r="A30" s="445"/>
      <c r="B30" s="441"/>
      <c r="C30" s="440"/>
      <c r="D30" s="438"/>
      <c r="E30" s="133"/>
      <c r="F30" s="133">
        <v>0.5</v>
      </c>
      <c r="G30" s="134">
        <f>ROUND(G29/$C29,4)</f>
        <v>0.5</v>
      </c>
    </row>
    <row r="31" spans="1:7" ht="12.75" customHeight="1">
      <c r="A31" s="444" t="str">
        <f>'Orçamento Sintético'!B54</f>
        <v>04.01.500</v>
      </c>
      <c r="B31" s="441" t="str">
        <f>VLOOKUP(A31,'Orçamento Sintético'!$B:$G,2,0)</f>
        <v>Revestimentos</v>
      </c>
      <c r="C31" s="439">
        <f>ROUND(VLOOKUP(A31,'Orçamento Sintético'!$B:$G,6,0)*(1+'Orçamento Sintético'!$A$179),2)</f>
        <v>15513.37</v>
      </c>
      <c r="D31" s="437">
        <f>ROUND(C31/C$59,5)</f>
        <v>0.07556</v>
      </c>
      <c r="E31" s="132">
        <f>ROUND($C31*E32,2)</f>
        <v>0</v>
      </c>
      <c r="F31" s="132">
        <f>ROUND($C31*F32,2)</f>
        <v>9308.02</v>
      </c>
      <c r="G31" s="132">
        <f>ROUND($C31-(SUM($E31:F31)),2)</f>
        <v>6205.35</v>
      </c>
    </row>
    <row r="32" spans="1:7" ht="12.75">
      <c r="A32" s="445"/>
      <c r="B32" s="441"/>
      <c r="C32" s="440"/>
      <c r="D32" s="438"/>
      <c r="E32" s="133"/>
      <c r="F32" s="133">
        <v>0.6</v>
      </c>
      <c r="G32" s="134">
        <f>ROUND(G31/$C31,4)</f>
        <v>0.4</v>
      </c>
    </row>
    <row r="33" spans="1:7" ht="12.75" customHeight="1">
      <c r="A33" s="444" t="str">
        <f>'Orçamento Sintético'!B68</f>
        <v>04.01.600</v>
      </c>
      <c r="B33" s="441" t="str">
        <f>VLOOKUP(A33,'Orçamento Sintético'!$B:$G,2,0)</f>
        <v>Impermeabilizações</v>
      </c>
      <c r="C33" s="439">
        <f>ROUND(VLOOKUP(A33,'Orçamento Sintético'!$B:$G,6,0)*(1+'Orçamento Sintético'!$A$179),2)</f>
        <v>23663.01</v>
      </c>
      <c r="D33" s="437">
        <f>ROUND(C33/C$59,5)</f>
        <v>0.11525</v>
      </c>
      <c r="E33" s="132">
        <f>ROUND($C33*E34,2)</f>
        <v>0</v>
      </c>
      <c r="F33" s="132">
        <f>ROUND($C33*F34,2)</f>
        <v>14197.81</v>
      </c>
      <c r="G33" s="132">
        <f>ROUND($C33-(SUM($E33:F33)),2)</f>
        <v>9465.2</v>
      </c>
    </row>
    <row r="34" spans="1:7" ht="12.75">
      <c r="A34" s="445"/>
      <c r="B34" s="441"/>
      <c r="C34" s="440"/>
      <c r="D34" s="438"/>
      <c r="E34" s="133"/>
      <c r="F34" s="133">
        <v>0.6</v>
      </c>
      <c r="G34" s="134">
        <f>ROUND(G33/$C33,4)</f>
        <v>0.4</v>
      </c>
    </row>
    <row r="35" spans="1:7" ht="12.75">
      <c r="A35" s="446" t="str">
        <f>'Orçamento Sintético'!B74</f>
        <v>05.00.000</v>
      </c>
      <c r="B35" s="442" t="str">
        <f>VLOOKUP(A35,'Orçamento Sintético'!$B:$G,2,0)</f>
        <v>INSTALAÇÕES HIDRÁULICAS E SANITÁRIAS</v>
      </c>
      <c r="C35" s="451">
        <f>ROUND(VLOOKUP(A35,'Orçamento Sintético'!$B:$G,6,0)*(1+'Orçamento Sintético'!$A$179),2)</f>
        <v>92814.2</v>
      </c>
      <c r="D35" s="435">
        <f>ROUND(C35/C$59,5)</f>
        <v>0.45205</v>
      </c>
      <c r="E35" s="345">
        <f>E37+E39+E41+E43+E45</f>
        <v>6520.03</v>
      </c>
      <c r="F35" s="345">
        <f>F37+F39+F41+F43+F45</f>
        <v>51886.91</v>
      </c>
      <c r="G35" s="345">
        <f>ROUND($C35-(SUM($E35:F35)),2)</f>
        <v>34407.26</v>
      </c>
    </row>
    <row r="36" spans="1:7" ht="12.75">
      <c r="A36" s="447"/>
      <c r="B36" s="443"/>
      <c r="C36" s="452"/>
      <c r="D36" s="436"/>
      <c r="E36" s="346">
        <f>ROUND(E35/$C35,4)</f>
        <v>0.0702</v>
      </c>
      <c r="F36" s="346">
        <f>ROUND(F35/$C35,4)</f>
        <v>0.559</v>
      </c>
      <c r="G36" s="347">
        <f>ROUND(G35/$C35,4)</f>
        <v>0.3707</v>
      </c>
    </row>
    <row r="37" spans="1:7" ht="12.75" customHeight="1">
      <c r="A37" s="444" t="str">
        <f>'Orçamento Sintético'!B76</f>
        <v>05.03.300</v>
      </c>
      <c r="B37" s="441" t="str">
        <f>VLOOKUP(A37,'Orçamento Sintético'!$B:$G,2,0)</f>
        <v>Tubulações e Conexões de PVC</v>
      </c>
      <c r="C37" s="439">
        <f>ROUND(VLOOKUP(A37,'Orçamento Sintético'!$B:$G,6,0)*(1+'Orçamento Sintético'!$A$179),2)</f>
        <v>26469.56</v>
      </c>
      <c r="D37" s="437">
        <f>ROUND(C37/C$59,5)</f>
        <v>0.12892</v>
      </c>
      <c r="E37" s="132">
        <f>ROUND($C37*E38,2)</f>
        <v>2646.96</v>
      </c>
      <c r="F37" s="132">
        <f>ROUND($C37*F38,2)</f>
        <v>15881.74</v>
      </c>
      <c r="G37" s="132">
        <f>ROUND($C37-(SUM($E37:F37)),2)</f>
        <v>7940.86</v>
      </c>
    </row>
    <row r="38" spans="1:7" ht="12.75">
      <c r="A38" s="445"/>
      <c r="B38" s="441"/>
      <c r="C38" s="440"/>
      <c r="D38" s="438"/>
      <c r="E38" s="133">
        <v>0.1</v>
      </c>
      <c r="F38" s="133">
        <v>0.6</v>
      </c>
      <c r="G38" s="134">
        <f>ROUND(G37/$C37,4)</f>
        <v>0.3</v>
      </c>
    </row>
    <row r="39" spans="1:7" ht="12.75" customHeight="1">
      <c r="A39" s="444" t="str">
        <f>'Orçamento Sintético'!B105</f>
        <v>05.03.800</v>
      </c>
      <c r="B39" s="441" t="str">
        <f>VLOOKUP(A39,'Orçamento Sintético'!$B:$G,2,0)</f>
        <v>Instalação elevatória</v>
      </c>
      <c r="C39" s="439">
        <f>ROUND(VLOOKUP(A39,'Orçamento Sintético'!$B:$G,6,0)*(1+'Orçamento Sintético'!$A$179),2)</f>
        <v>42824.39</v>
      </c>
      <c r="D39" s="437">
        <f>ROUND(C39/C$59,5)</f>
        <v>0.20857</v>
      </c>
      <c r="E39" s="132">
        <f>ROUND($C39*E40,2)</f>
        <v>0</v>
      </c>
      <c r="F39" s="132">
        <f>ROUND($C39*F40,2)</f>
        <v>21412.2</v>
      </c>
      <c r="G39" s="132">
        <f>ROUND($C39-(SUM($E39:F39)),2)</f>
        <v>21412.19</v>
      </c>
    </row>
    <row r="40" spans="1:7" ht="12.75">
      <c r="A40" s="445"/>
      <c r="B40" s="441"/>
      <c r="C40" s="440"/>
      <c r="D40" s="438"/>
      <c r="E40" s="133"/>
      <c r="F40" s="133">
        <v>0.5</v>
      </c>
      <c r="G40" s="134">
        <f>ROUND(G39/$C39,4)</f>
        <v>0.5</v>
      </c>
    </row>
    <row r="41" spans="1:7" ht="12.75" customHeight="1">
      <c r="A41" s="444" t="str">
        <f>'Orçamento Sintético'!B134</f>
        <v>05.03.900</v>
      </c>
      <c r="B41" s="441" t="str">
        <f>VLOOKUP(A41,'Orçamento Sintético'!$B:$G,2,0)</f>
        <v>Acessórios</v>
      </c>
      <c r="C41" s="439">
        <f>ROUND(VLOOKUP(A41,'Orçamento Sintético'!$B:$G,6,0)*(1+'Orçamento Sintético'!$A$179),2)</f>
        <v>16847.31</v>
      </c>
      <c r="D41" s="437">
        <f>ROUND(C41/C$59,5)</f>
        <v>0.08205</v>
      </c>
      <c r="E41" s="132">
        <f>ROUND($C41*E42,2)</f>
        <v>1347.78</v>
      </c>
      <c r="F41" s="132">
        <f>ROUND($C41*F42,2)</f>
        <v>10445.33</v>
      </c>
      <c r="G41" s="132">
        <f>ROUND($C41-(SUM($E41:F41)),2)</f>
        <v>5054.2</v>
      </c>
    </row>
    <row r="42" spans="1:7" ht="12.75">
      <c r="A42" s="445"/>
      <c r="B42" s="441"/>
      <c r="C42" s="440"/>
      <c r="D42" s="438"/>
      <c r="E42" s="133">
        <v>0.08</v>
      </c>
      <c r="F42" s="133">
        <v>0.62</v>
      </c>
      <c r="G42" s="134">
        <f>ROUND(G41/$C41,4)</f>
        <v>0.3</v>
      </c>
    </row>
    <row r="43" spans="1:7" ht="12.75" customHeight="1">
      <c r="A43" s="448" t="str">
        <f>'Orçamento Sintético'!B149</f>
        <v>05.06.100</v>
      </c>
      <c r="B43" s="441" t="str">
        <f>VLOOKUP(A43,'Orçamento Sintético'!$B:$G,2,0)</f>
        <v>Escavação de valas</v>
      </c>
      <c r="C43" s="439">
        <f>ROUND(VLOOKUP(A43,'Orçamento Sintético'!$B:$G,6,0)*(1+'Orçamento Sintético'!$A$179),2)</f>
        <v>3156.61</v>
      </c>
      <c r="D43" s="437">
        <f>ROUND(C43/C$59,5)</f>
        <v>0.01537</v>
      </c>
      <c r="E43" s="132">
        <f>ROUND($C43*E44,2)</f>
        <v>2525.29</v>
      </c>
      <c r="F43" s="132">
        <f>ROUND($C43*F44,2)</f>
        <v>631.32</v>
      </c>
      <c r="G43" s="132">
        <f>ROUND($C43-(SUM($E43:F43)),2)</f>
        <v>0</v>
      </c>
    </row>
    <row r="44" spans="1:7" ht="12.75">
      <c r="A44" s="449"/>
      <c r="B44" s="441"/>
      <c r="C44" s="440"/>
      <c r="D44" s="438"/>
      <c r="E44" s="133">
        <v>0.8</v>
      </c>
      <c r="F44" s="133">
        <v>0.2</v>
      </c>
      <c r="G44" s="134">
        <f>ROUND(G43/$C43,4)</f>
        <v>0</v>
      </c>
    </row>
    <row r="45" spans="1:7" ht="12.75" customHeight="1">
      <c r="A45" s="444" t="str">
        <f>'Orçamento Sintético'!B153</f>
        <v>05.06.200</v>
      </c>
      <c r="B45" s="441" t="str">
        <f>VLOOKUP(A45,'Orçamento Sintético'!$B:$G,2,0)</f>
        <v>Lastros</v>
      </c>
      <c r="C45" s="439">
        <f>ROUND(VLOOKUP(A45,'Orçamento Sintético'!$B:$G,6,0)*(1+'Orçamento Sintético'!$A$179),2)</f>
        <v>3516.32</v>
      </c>
      <c r="D45" s="437">
        <f>ROUND(C45/C$59,5)</f>
        <v>0.01713</v>
      </c>
      <c r="E45" s="132">
        <f>ROUND($C45*E46,2)</f>
        <v>0</v>
      </c>
      <c r="F45" s="132">
        <f>ROUND($C45*F46,2)</f>
        <v>3516.32</v>
      </c>
      <c r="G45" s="132">
        <f>ROUND($C45-(SUM($E45:F45)),2)</f>
        <v>0</v>
      </c>
    </row>
    <row r="46" spans="1:7" ht="12.75">
      <c r="A46" s="445"/>
      <c r="B46" s="441"/>
      <c r="C46" s="440"/>
      <c r="D46" s="438"/>
      <c r="E46" s="133"/>
      <c r="F46" s="133">
        <v>1</v>
      </c>
      <c r="G46" s="134">
        <f>ROUND(G45/$C45,4)</f>
        <v>0</v>
      </c>
    </row>
    <row r="47" spans="1:7" ht="12.75" customHeight="1">
      <c r="A47" s="446" t="str">
        <f>'Orçamento Sintético'!B155</f>
        <v>06.00.000</v>
      </c>
      <c r="B47" s="442" t="str">
        <f>VLOOKUP(A47,'Orçamento Sintético'!$B:$G,2,0)</f>
        <v>INSTALAÇÕES ELÉTRICAS E ELETRÔNICAS</v>
      </c>
      <c r="C47" s="451">
        <f>ROUND(VLOOKUP(A47,'Orçamento Sintético'!$B:$G,6,0)*(1+'Orçamento Sintético'!$A$179),2)</f>
        <v>21312.45</v>
      </c>
      <c r="D47" s="435">
        <f>ROUND(C47/C$59,5)</f>
        <v>0.1038</v>
      </c>
      <c r="E47" s="345">
        <f>E49</f>
        <v>0</v>
      </c>
      <c r="F47" s="345">
        <f>F49</f>
        <v>18115.58</v>
      </c>
      <c r="G47" s="345">
        <f>ROUND($C47-(SUM($E47:F47)),2)</f>
        <v>3196.87</v>
      </c>
    </row>
    <row r="48" spans="1:7" ht="12.75">
      <c r="A48" s="447"/>
      <c r="B48" s="443"/>
      <c r="C48" s="452"/>
      <c r="D48" s="436"/>
      <c r="E48" s="346">
        <f>ROUND(E47/$C47,4)</f>
        <v>0</v>
      </c>
      <c r="F48" s="346">
        <f>ROUND(F47/$C47,4)</f>
        <v>0.85</v>
      </c>
      <c r="G48" s="347">
        <f>ROUND(G47/$C47,4)</f>
        <v>0.15</v>
      </c>
    </row>
    <row r="49" spans="1:7" ht="12.75" customHeight="1">
      <c r="A49" s="444" t="str">
        <f>'Orçamento Sintético'!B157</f>
        <v>06.01.400</v>
      </c>
      <c r="B49" s="441" t="str">
        <f>VLOOKUP(A49,'Orçamento Sintético'!$B:$G,2,0)</f>
        <v>Rede Elétrica Secundária</v>
      </c>
      <c r="C49" s="439">
        <f>ROUND(VLOOKUP(A49,'Orçamento Sintético'!$B:$G,6,0)*(1+'Orçamento Sintético'!$A$179),2)</f>
        <v>21312.45</v>
      </c>
      <c r="D49" s="437">
        <f>ROUND(C49/C$59,5)</f>
        <v>0.1038</v>
      </c>
      <c r="E49" s="132">
        <f>ROUND($C49*E50,2)</f>
        <v>0</v>
      </c>
      <c r="F49" s="132">
        <f>ROUND($C49*F50,2)</f>
        <v>18115.58</v>
      </c>
      <c r="G49" s="132">
        <f>ROUND($C49-(SUM($E49:F49)),2)</f>
        <v>3196.87</v>
      </c>
    </row>
    <row r="50" spans="1:7" ht="12.75">
      <c r="A50" s="445"/>
      <c r="B50" s="441"/>
      <c r="C50" s="440"/>
      <c r="D50" s="438"/>
      <c r="E50" s="133"/>
      <c r="F50" s="133">
        <v>0.85</v>
      </c>
      <c r="G50" s="134">
        <f>ROUND(G49/$C49,4)</f>
        <v>0.15</v>
      </c>
    </row>
    <row r="51" spans="1:7" ht="12.75">
      <c r="A51" s="446" t="str">
        <f>'Orçamento Sintético'!B169</f>
        <v>09.00.000</v>
      </c>
      <c r="B51" s="442" t="str">
        <f>VLOOKUP(A51,'Orçamento Sintético'!$B:$G,2,0)</f>
        <v>SERVIÇOS COMPLEMENTARES</v>
      </c>
      <c r="C51" s="451">
        <f>ROUND(VLOOKUP(A51,'Orçamento Sintético'!$B:$G,6,0)*(1+'Orçamento Sintético'!$A$179),2)</f>
        <v>4059.59</v>
      </c>
      <c r="D51" s="435">
        <f>ROUND(C51/C$59,5)</f>
        <v>0.01977</v>
      </c>
      <c r="E51" s="345">
        <f>+E53</f>
        <v>1217.88</v>
      </c>
      <c r="F51" s="345">
        <f>+F53</f>
        <v>405.96</v>
      </c>
      <c r="G51" s="345">
        <f>ROUND($C51-(SUM($E51:F51)),2)</f>
        <v>2435.75</v>
      </c>
    </row>
    <row r="52" spans="1:7" ht="12.75">
      <c r="A52" s="447"/>
      <c r="B52" s="443"/>
      <c r="C52" s="452"/>
      <c r="D52" s="436"/>
      <c r="E52" s="346">
        <f>ROUND(E51/$C51,4)</f>
        <v>0.3</v>
      </c>
      <c r="F52" s="346">
        <f>ROUND(F51/$C51,4)</f>
        <v>0.1</v>
      </c>
      <c r="G52" s="347">
        <f>ROUND(G51/$C51,4)</f>
        <v>0.6</v>
      </c>
    </row>
    <row r="53" spans="1:7" ht="12.75">
      <c r="A53" s="444" t="str">
        <f>'Orçamento Sintético'!B170</f>
        <v>09.02.000</v>
      </c>
      <c r="B53" s="441" t="str">
        <f>VLOOKUP(A53,'Orçamento Sintético'!$B:$G,2,0)</f>
        <v>Limpeza de obra</v>
      </c>
      <c r="C53" s="439">
        <f>ROUND(VLOOKUP(A53,'Orçamento Sintético'!$B:$G,6,0)*(1+'Orçamento Sintético'!$A$179),2)</f>
        <v>4059.59</v>
      </c>
      <c r="D53" s="437">
        <f>ROUND(C53/C$59,5)</f>
        <v>0.01977</v>
      </c>
      <c r="E53" s="132">
        <f>ROUND($C53*E54,2)</f>
        <v>1217.88</v>
      </c>
      <c r="F53" s="132">
        <f>ROUND($C53*F54,2)</f>
        <v>405.96</v>
      </c>
      <c r="G53" s="132">
        <f>ROUND($C53-(SUM($E53:F53)),2)</f>
        <v>2435.75</v>
      </c>
    </row>
    <row r="54" spans="1:7" ht="12.75">
      <c r="A54" s="445"/>
      <c r="B54" s="441"/>
      <c r="C54" s="440"/>
      <c r="D54" s="438"/>
      <c r="E54" s="133">
        <v>0.3</v>
      </c>
      <c r="F54" s="133">
        <v>0.1</v>
      </c>
      <c r="G54" s="134">
        <f>ROUND(G53/$C53,4)</f>
        <v>0.6</v>
      </c>
    </row>
    <row r="55" spans="1:7" ht="12.75">
      <c r="A55" s="446" t="str">
        <f>'Orçamento Sintético'!B172</f>
        <v>10.00.000</v>
      </c>
      <c r="B55" s="442" t="str">
        <f>VLOOKUP(A55,'Orçamento Sintético'!$B:$G,2,0)</f>
        <v>SERVIÇOS AUXILIARES E ADMNISTRATIVOS</v>
      </c>
      <c r="C55" s="451">
        <f>ROUND(VLOOKUP(A55,'Orçamento Sintético'!$B:$G,6,0)*(1+'Orçamento Sintético'!$A$179),2)</f>
        <v>19791.93</v>
      </c>
      <c r="D55" s="435">
        <f>ROUND(C55/C$59,5)</f>
        <v>0.0964</v>
      </c>
      <c r="E55" s="345">
        <f>E57</f>
        <v>1129.71</v>
      </c>
      <c r="F55" s="345">
        <f>F57</f>
        <v>11544.6</v>
      </c>
      <c r="G55" s="345">
        <f>ROUND($C55-(SUM($E55:F55)),2)</f>
        <v>7117.62</v>
      </c>
    </row>
    <row r="56" spans="1:7" ht="12.75">
      <c r="A56" s="447"/>
      <c r="B56" s="443"/>
      <c r="C56" s="452"/>
      <c r="D56" s="436"/>
      <c r="E56" s="346">
        <f>ROUND(E55/$C55,4)</f>
        <v>0.0571</v>
      </c>
      <c r="F56" s="346">
        <f>ROUND(F55/$C55,4)</f>
        <v>0.5833</v>
      </c>
      <c r="G56" s="347">
        <f>ROUND(G55/$C55,4)</f>
        <v>0.3596</v>
      </c>
    </row>
    <row r="57" spans="1:7" ht="12.75">
      <c r="A57" s="444" t="str">
        <f>'Orçamento Sintético'!B173</f>
        <v>10.01.000</v>
      </c>
      <c r="B57" s="441" t="str">
        <f>VLOOKUP(A57,'Orçamento Sintético'!$B:$G,2,0)</f>
        <v>Pessoal</v>
      </c>
      <c r="C57" s="439">
        <f>ROUND(VLOOKUP(A57,'Orçamento Sintético'!$B:$G,6,0)*(1+'Orçamento Sintético'!$A$179),2)</f>
        <v>19791.93</v>
      </c>
      <c r="D57" s="437">
        <f>ROUND(C57/C$59,5)</f>
        <v>0.0964</v>
      </c>
      <c r="E57" s="132">
        <f>ROUND(E64*$C57/$D65,2)</f>
        <v>1129.71</v>
      </c>
      <c r="F57" s="132">
        <f>ROUND(F64*$C57/$D65,2)</f>
        <v>11544.6</v>
      </c>
      <c r="G57" s="132">
        <f>ROUND($C57-(SUM($E57:F57)),2)</f>
        <v>7117.62</v>
      </c>
    </row>
    <row r="58" spans="1:7" ht="12.75">
      <c r="A58" s="445"/>
      <c r="B58" s="441"/>
      <c r="C58" s="440"/>
      <c r="D58" s="438"/>
      <c r="E58" s="133">
        <f>ROUND(E57/$C57,4)</f>
        <v>0.0571</v>
      </c>
      <c r="F58" s="133">
        <f>ROUND(F57/$C57,4)</f>
        <v>0.5833</v>
      </c>
      <c r="G58" s="134">
        <f>ROUND(G57/$C57,4)</f>
        <v>0.3596</v>
      </c>
    </row>
    <row r="59" spans="1:7" ht="12.75" customHeight="1">
      <c r="A59" s="471" t="s">
        <v>234</v>
      </c>
      <c r="B59" s="21" t="s">
        <v>235</v>
      </c>
      <c r="C59" s="22">
        <f>'Orçamento Sintético'!G180</f>
        <v>205319.1</v>
      </c>
      <c r="D59" s="23"/>
      <c r="E59" s="135">
        <f>ROUND(E11+E15+E23+E27+E35+E47+E51+E55,2)</f>
        <v>11719.49</v>
      </c>
      <c r="F59" s="135">
        <f>ROUND(F11+F15+F23+F27+F35+F47+F51+F55,2)</f>
        <v>119762.33</v>
      </c>
      <c r="G59" s="135">
        <f>ROUND(G11+G15+G23+G27+G35+G47+G51+G55,2)</f>
        <v>73837.27</v>
      </c>
    </row>
    <row r="60" spans="1:7" ht="12.75" customHeight="1">
      <c r="A60" s="471"/>
      <c r="B60" s="24" t="s">
        <v>294</v>
      </c>
      <c r="C60" s="25"/>
      <c r="D60" s="26">
        <f>ROUND(SUM(D11:D57)/2,4)</f>
        <v>1</v>
      </c>
      <c r="E60" s="136">
        <f>ROUND(E59/$C59,5)</f>
        <v>0.05708</v>
      </c>
      <c r="F60" s="136">
        <f>ROUND(F59/$C59,5)</f>
        <v>0.5833</v>
      </c>
      <c r="G60" s="136">
        <f>ROUND(G59/$C59,5)</f>
        <v>0.35962</v>
      </c>
    </row>
    <row r="61" spans="1:7" ht="12.75" customHeight="1">
      <c r="A61" s="471" t="s">
        <v>236</v>
      </c>
      <c r="B61" s="21" t="s">
        <v>235</v>
      </c>
      <c r="C61" s="27"/>
      <c r="D61" s="23"/>
      <c r="E61" s="135">
        <f>E59</f>
        <v>11719.49</v>
      </c>
      <c r="F61" s="135">
        <f>E61+F59</f>
        <v>131481.82</v>
      </c>
      <c r="G61" s="135">
        <f>F61+G59+0.01</f>
        <v>205319.10000000003</v>
      </c>
    </row>
    <row r="62" spans="1:7" ht="12.75">
      <c r="A62" s="471"/>
      <c r="B62" s="24" t="s">
        <v>294</v>
      </c>
      <c r="C62" s="25"/>
      <c r="D62" s="28"/>
      <c r="E62" s="137">
        <f>ROUND(E61/$C59,5)</f>
        <v>0.05708</v>
      </c>
      <c r="F62" s="137">
        <f>ROUND(F61/$C59,5)</f>
        <v>0.64038</v>
      </c>
      <c r="G62" s="137">
        <f>ROUND(G61/$C59,5)</f>
        <v>1</v>
      </c>
    </row>
    <row r="64" spans="5:7" ht="12.75">
      <c r="E64" s="2">
        <f>E11+E15+E23+E27+E35+E47+E51</f>
        <v>10589.779999999999</v>
      </c>
      <c r="F64" s="2">
        <f>F11+F15+F23+F27+F35+F47+F51</f>
        <v>108217.73000000001</v>
      </c>
      <c r="G64" s="2">
        <f>G11+G15+G23+G27+G35+G47+G51</f>
        <v>66719.65000000001</v>
      </c>
    </row>
    <row r="65" spans="3:7" ht="12.75">
      <c r="C65" s="182" t="s">
        <v>207</v>
      </c>
      <c r="D65" s="2">
        <f>C59-C55</f>
        <v>185527.17</v>
      </c>
      <c r="E65" s="26">
        <f>E64/$D$65</f>
        <v>0.057079402440084644</v>
      </c>
      <c r="F65" s="26">
        <f>F64/$D$65</f>
        <v>0.5832985540608419</v>
      </c>
      <c r="G65" s="26">
        <f>G64/$D$65</f>
        <v>0.35962198959861247</v>
      </c>
    </row>
  </sheetData>
  <sheetProtection selectLockedCells="1" selectUnlockedCells="1"/>
  <mergeCells count="107">
    <mergeCell ref="A61:A62"/>
    <mergeCell ref="A55:A56"/>
    <mergeCell ref="B55:B56"/>
    <mergeCell ref="A59:A60"/>
    <mergeCell ref="A57:A58"/>
    <mergeCell ref="B57:B58"/>
    <mergeCell ref="A9:A10"/>
    <mergeCell ref="B9:B10"/>
    <mergeCell ref="B11:B12"/>
    <mergeCell ref="A11:A12"/>
    <mergeCell ref="D25:D26"/>
    <mergeCell ref="A19:A20"/>
    <mergeCell ref="A23:A24"/>
    <mergeCell ref="B23:B24"/>
    <mergeCell ref="C23:C24"/>
    <mergeCell ref="B25:B26"/>
    <mergeCell ref="D21:D22"/>
    <mergeCell ref="B19:B20"/>
    <mergeCell ref="B21:B22"/>
    <mergeCell ref="A15:A16"/>
    <mergeCell ref="C13:C14"/>
    <mergeCell ref="B13:B14"/>
    <mergeCell ref="A21:A22"/>
    <mergeCell ref="C15:C16"/>
    <mergeCell ref="B17:B18"/>
    <mergeCell ref="B15:B16"/>
    <mergeCell ref="A13:A14"/>
    <mergeCell ref="A17:A18"/>
    <mergeCell ref="D9:D10"/>
    <mergeCell ref="C9:C10"/>
    <mergeCell ref="C17:C18"/>
    <mergeCell ref="D17:D18"/>
    <mergeCell ref="D11:D12"/>
    <mergeCell ref="C11:C12"/>
    <mergeCell ref="D13:D14"/>
    <mergeCell ref="D15:D16"/>
    <mergeCell ref="A45:A46"/>
    <mergeCell ref="C27:C28"/>
    <mergeCell ref="C19:C20"/>
    <mergeCell ref="D19:D20"/>
    <mergeCell ref="D27:D28"/>
    <mergeCell ref="D29:D30"/>
    <mergeCell ref="D45:D46"/>
    <mergeCell ref="D43:D44"/>
    <mergeCell ref="D41:D42"/>
    <mergeCell ref="C25:C26"/>
    <mergeCell ref="B53:B54"/>
    <mergeCell ref="A51:A52"/>
    <mergeCell ref="B51:B52"/>
    <mergeCell ref="C49:C50"/>
    <mergeCell ref="A53:A54"/>
    <mergeCell ref="C51:C52"/>
    <mergeCell ref="A47:A48"/>
    <mergeCell ref="B47:B48"/>
    <mergeCell ref="A49:A50"/>
    <mergeCell ref="E9:G9"/>
    <mergeCell ref="C31:C32"/>
    <mergeCell ref="C35:C36"/>
    <mergeCell ref="C33:C34"/>
    <mergeCell ref="C21:C22"/>
    <mergeCell ref="A35:A36"/>
    <mergeCell ref="D23:D24"/>
    <mergeCell ref="C47:C48"/>
    <mergeCell ref="C29:C30"/>
    <mergeCell ref="C45:C46"/>
    <mergeCell ref="D47:D48"/>
    <mergeCell ref="C43:C44"/>
    <mergeCell ref="C41:C42"/>
    <mergeCell ref="D31:D32"/>
    <mergeCell ref="D39:D40"/>
    <mergeCell ref="C37:C38"/>
    <mergeCell ref="D37:D38"/>
    <mergeCell ref="A25:A26"/>
    <mergeCell ref="A31:A32"/>
    <mergeCell ref="D57:D58"/>
    <mergeCell ref="C53:C54"/>
    <mergeCell ref="D53:D54"/>
    <mergeCell ref="C55:C56"/>
    <mergeCell ref="C57:C58"/>
    <mergeCell ref="D55:D56"/>
    <mergeCell ref="D51:D52"/>
    <mergeCell ref="D49:D50"/>
    <mergeCell ref="A41:A42"/>
    <mergeCell ref="A37:A38"/>
    <mergeCell ref="A43:A44"/>
    <mergeCell ref="A39:A40"/>
    <mergeCell ref="B27:B28"/>
    <mergeCell ref="A29:A30"/>
    <mergeCell ref="B29:B30"/>
    <mergeCell ref="A33:A34"/>
    <mergeCell ref="B33:B34"/>
    <mergeCell ref="B31:B32"/>
    <mergeCell ref="A27:A28"/>
    <mergeCell ref="B41:B42"/>
    <mergeCell ref="B49:B50"/>
    <mergeCell ref="B39:B40"/>
    <mergeCell ref="B43:B44"/>
    <mergeCell ref="B45:B46"/>
    <mergeCell ref="D35:D36"/>
    <mergeCell ref="D33:D34"/>
    <mergeCell ref="C39:C40"/>
    <mergeCell ref="B37:B38"/>
    <mergeCell ref="B35:B36"/>
    <mergeCell ref="A1:B1"/>
    <mergeCell ref="C1:D1"/>
    <mergeCell ref="A2:D2"/>
    <mergeCell ref="A3:D3"/>
  </mergeCells>
  <conditionalFormatting sqref="E59:G62">
    <cfRule type="cellIs" priority="1" dxfId="3" operator="notEqual" stopIfTrue="1">
      <formula>0</formula>
    </cfRule>
    <cfRule type="cellIs" priority="2" dxfId="2" operator="equal" stopIfTrue="1">
      <formula>0</formula>
    </cfRule>
  </conditionalFormatting>
  <conditionalFormatting sqref="E57:G58 E53:G54 E49:G50 E37:G46 E29:G34 E25:G26 E17:G22 E13:G14">
    <cfRule type="cellIs" priority="3" dxfId="1" operator="notEqual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85" r:id="rId2"/>
  <headerFooter alignWithMargins="0">
    <oddFooter>&amp;L&amp;8&amp;Z&amp;F&amp;R&amp;8Página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marli</cp:lastModifiedBy>
  <cp:lastPrinted>2019-07-11T18:55:03Z</cp:lastPrinted>
  <dcterms:created xsi:type="dcterms:W3CDTF">2014-10-13T18:48:08Z</dcterms:created>
  <dcterms:modified xsi:type="dcterms:W3CDTF">2019-07-25T17:50:35Z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