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1470" windowWidth="18195" windowHeight="8505" tabRatio="678" activeTab="1"/>
  </bookViews>
  <sheets>
    <sheet name="Instruções de Preenchimento" sheetId="1" r:id="rId1"/>
    <sheet name="Resumo do Orçamento" sheetId="2" r:id="rId2"/>
    <sheet name="Orçamento Sintético" sheetId="3" r:id="rId3"/>
    <sheet name="Orçamento Analítico" sheetId="4" r:id="rId4"/>
    <sheet name="Insumos e Serviços" sheetId="5" r:id="rId5"/>
    <sheet name="Marcas e Modelos" sheetId="6" r:id="rId6"/>
    <sheet name="Composição de BDI" sheetId="7" r:id="rId7"/>
    <sheet name="Composição de Encargos Sociais" sheetId="8" r:id="rId8"/>
    <sheet name="Cronograma" sheetId="9" r:id="rId9"/>
  </sheets>
  <definedNames>
    <definedName name="_xlnm.Print_Area" localSheetId="8">'Cronograma'!$A$1:$F$453</definedName>
    <definedName name="_xlnm.Print_Area" localSheetId="0">'Instruções de Preenchimento'!$A$1:$B$33</definedName>
    <definedName name="_xlnm.Print_Area" localSheetId="4">'Insumos e Serviços'!$A$1:$F$203</definedName>
    <definedName name="_xlnm.Print_Area" localSheetId="5">'Marcas e Modelos'!$A$1:$F$110</definedName>
    <definedName name="_xlnm.Print_Area" localSheetId="3">'Orçamento Analítico'!$A$1:$H$235</definedName>
    <definedName name="_xlnm.Print_Area" localSheetId="2">'Orçamento Sintético'!$A$1:$H$231</definedName>
    <definedName name="_xlnm.Print_Area" localSheetId="1">'Resumo do Orçamento'!$A$1:$D$21</definedName>
    <definedName name="_xlnm.Print_Titles" localSheetId="6">'Composição de BDI'!$1:$8</definedName>
    <definedName name="_xlnm.Print_Titles" localSheetId="8">'Cronograma'!$1:$8</definedName>
    <definedName name="_xlnm.Print_Titles" localSheetId="4">'Insumos e Serviços'!$1:$8</definedName>
    <definedName name="_xlnm.Print_Titles" localSheetId="5">'Marcas e Modelos'!$1:$9</definedName>
    <definedName name="_xlnm.Print_Titles" localSheetId="3">'Orçamento Analítico'!$1:$8</definedName>
    <definedName name="_xlnm.Print_Titles" localSheetId="2">'Orçamento Sintético'!$1:$8</definedName>
  </definedNames>
  <calcPr fullCalcOnLoad="1"/>
</workbook>
</file>

<file path=xl/sharedStrings.xml><?xml version="1.0" encoding="utf-8"?>
<sst xmlns="http://schemas.openxmlformats.org/spreadsheetml/2006/main" count="3371" uniqueCount="1388">
  <si>
    <t>Porta de madeira (PM1), DM 1,60 x 2,10 m, acabamento em laminado melamínico texturizado, inclusive dobradiça e fechadura</t>
  </si>
  <si>
    <t xml:space="preserve"> 3.1.2.4 </t>
  </si>
  <si>
    <t xml:space="preserve"> MPDFT1598 </t>
  </si>
  <si>
    <t>Portal / batente em chapa de aço carbono SAE 1006/1010, nº 16, dobrada conforme projeto, incluso tratamento com anticorrosivo e  pintura esmalte, Largura até 90cm, inclusive</t>
  </si>
  <si>
    <t xml:space="preserve"> 3.1.3 </t>
  </si>
  <si>
    <t>Vidros e Plásticos</t>
  </si>
  <si>
    <t xml:space="preserve"> 3.1.3.1 </t>
  </si>
  <si>
    <t xml:space="preserve"> MPDFT1128 </t>
  </si>
  <si>
    <t>Cópia da Agesul (1801000120) - Espelho cristal 4mm, sem moldura fixado com parafuso e bucha</t>
  </si>
  <si>
    <t xml:space="preserve"> 3.1.3.2 </t>
  </si>
  <si>
    <t xml:space="preserve"> 3.1.3.3 </t>
  </si>
  <si>
    <t xml:space="preserve"> MPDFT0869 </t>
  </si>
  <si>
    <t>Copia da SINAPI (72120) - Recolocação de vidro laminado / temperado, inclusive massa / silicone</t>
  </si>
  <si>
    <t xml:space="preserve"> 3.1.4 </t>
  </si>
  <si>
    <t>Revestimentos de pisos</t>
  </si>
  <si>
    <t xml:space="preserve"> 3.1.4.1 </t>
  </si>
  <si>
    <t xml:space="preserve"> MPDFT0029 </t>
  </si>
  <si>
    <t>Copia da SINAPI (87640) - Regularização / preparação de superfície horizontal com argamassa, traço 1:3 (cimento e areia), preparo mecânico, espessura média 4cm</t>
  </si>
  <si>
    <t xml:space="preserve"> 3.1.4.2 </t>
  </si>
  <si>
    <t xml:space="preserve"> MPDFT0140 </t>
  </si>
  <si>
    <t>Sóculo sob bancadas das copas, sanitários e lixo, altura de 15 cm e profundidade de 60 cm</t>
  </si>
  <si>
    <t xml:space="preserve"> 3.1.4.3 </t>
  </si>
  <si>
    <t xml:space="preserve"> MPDFT0850 </t>
  </si>
  <si>
    <t>Cóipa SINAPI (72183+72137) - Piso em concreto estrutural de 25MPa, acabamento desempenado, espessura de 10cm, armado com tela soldada Q196 barra 5mm</t>
  </si>
  <si>
    <t xml:space="preserve"> 3.1.4.4 </t>
  </si>
  <si>
    <t xml:space="preserve"> 3.1.4.5 </t>
  </si>
  <si>
    <t xml:space="preserve"> MPDFT0170 </t>
  </si>
  <si>
    <t>Lastro de brita nº 1, espessura de 5cm, incluindo lona plástica para isolar o lastro do solo</t>
  </si>
  <si>
    <t xml:space="preserve"> 3.1.4.6 </t>
  </si>
  <si>
    <t xml:space="preserve"> MPDFT1594 </t>
  </si>
  <si>
    <t>Cópia da SINAPI (87263) – Mão de obra de assentamento de revestimento cerâmico para piso com placas tipo porcelanato, inclusive argamassa e rejunte</t>
  </si>
  <si>
    <t xml:space="preserve"> 3.1.4.7 </t>
  </si>
  <si>
    <t xml:space="preserve"> MPDFT1602 </t>
  </si>
  <si>
    <t>Copia da SINAPI (87263) - Porcelanato cinza claro, acab. acetindo 60x60cm, Biancogrês Cemento Grigio</t>
  </si>
  <si>
    <t xml:space="preserve"> 3.1.4.8 </t>
  </si>
  <si>
    <t xml:space="preserve"> MPDFT1603 </t>
  </si>
  <si>
    <t>Copia da SINAPI (87263) - Porcelanato cinza escuro acab. acetinado 60x60cm, Biancogres Cemento Grafite</t>
  </si>
  <si>
    <t xml:space="preserve"> 3.1.4.9 </t>
  </si>
  <si>
    <t xml:space="preserve"> MPDFT1604 </t>
  </si>
  <si>
    <t>Copia da SINAPI (88650) - Rodapé em porcelanato cinza escuro acab. acetinado (peça 60x60cm) - corte 15x60, Biancogres Cemento Grafite</t>
  </si>
  <si>
    <t xml:space="preserve"> 3.1.4.10 </t>
  </si>
  <si>
    <t xml:space="preserve"> MPDFT1605 </t>
  </si>
  <si>
    <t xml:space="preserve">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t>
  </si>
  <si>
    <t>Ventilador helicocentrífugo com isolamento fono-absorvente, construído em material plástico, desmontável, motor regulável 60 Hz, 220V, potência 43W, rotação 2570rpm, vazão em descarga livre 395m³/h, nível de pressão sonora 23 dB  (A), diâmetro do duto 125mm, peso 5kg, incluindo comporta anti-retorno, acoplamento para duto retangular, damper regulador de vazão, flanges e juntas de borrachas (admissão e saída) e suporte para instalação no entreforro.</t>
  </si>
  <si>
    <t>Soler&amp;Palau OTAM</t>
  </si>
  <si>
    <t>TD-1300/250 Silent + MCA+MAR</t>
  </si>
  <si>
    <t>TD-350/125 Silent + MCA+MAR</t>
  </si>
  <si>
    <t>Ventilador helicocentrífugo com isolamento fono-absorvente, construído em material plástico, desmontável, motor regulável 60 Hz, 220V, potência 37W, rotação 2540rpm, vazão em descarga livre 265m³/h, nível de pressão sonora 27 dB (A), diâmetro do duto 100mm, peso 5,4kg, incluindo comporta anti-retorno, acoplamento para duto retangular, damper regulador de vazão, flanges e juntas de borrachas (admissão e saída) e suporte para instalação no entreforro.</t>
  </si>
  <si>
    <t>TD-250/100 Silent + MCA+MAR</t>
  </si>
  <si>
    <t xml:space="preserve">Grelha de exaustão, aletas fixas e horizontais, fabricada com perfis de alumínio extrudado, anodizado, incluindo registro de lâminas opostas e dupla deflexão. </t>
  </si>
  <si>
    <t xml:space="preserve">Grelha de exaustão, aletas fixas e horizontais, fabricada com perfis de alumínio extrudado, anodizado, na cor natural, incluindo registro de lâminas opostas e dupla deflexão. </t>
  </si>
  <si>
    <t xml:space="preserve">Grelha de exaustão de plástico para duto flexível diâmetro 100mm, com lâminas inclinadas. </t>
  </si>
  <si>
    <t>TROX</t>
  </si>
  <si>
    <t>AR/AG 225x125mm</t>
  </si>
  <si>
    <t>AR/AG 225x225mm</t>
  </si>
  <si>
    <t>GR-100</t>
  </si>
  <si>
    <t>Instruções de Preenchimento do Modelo de Proposta</t>
  </si>
  <si>
    <t>CONSIDERAÇÕES GERAIS</t>
  </si>
  <si>
    <r>
      <rPr>
        <sz val="8"/>
        <rFont val="Arial"/>
        <family val="2"/>
      </rPr>
      <t xml:space="preserve">O cabeçalho deverá ser preenchido somente na </t>
    </r>
    <r>
      <rPr>
        <b/>
        <sz val="8"/>
        <color indexed="45"/>
        <rFont val="Arial"/>
        <family val="2"/>
      </rPr>
      <t>PLANILHA DE ORÇAMENTO SINTÉTICO</t>
    </r>
    <r>
      <rPr>
        <sz val="8"/>
        <rFont val="Arial"/>
        <family val="2"/>
      </rPr>
      <t>, pois será repetido automaticamente nas demais planilhas. Para isso, o mouse deverá ser posicionado sobre a célula que contem a informação, e posteriormente pressionado F2</t>
    </r>
  </si>
  <si>
    <t>Sugerimos a seguinte sequência de preenchimento de planilhas:</t>
  </si>
  <si>
    <t>2.1</t>
  </si>
  <si>
    <r>
      <rPr>
        <sz val="8"/>
        <rFont val="Arial"/>
        <family val="2"/>
      </rPr>
      <t xml:space="preserve">Valide os valores constantes na </t>
    </r>
    <r>
      <rPr>
        <b/>
        <sz val="8"/>
        <rFont val="Arial"/>
        <family val="2"/>
      </rPr>
      <t>Planilha de Insumos</t>
    </r>
    <r>
      <rPr>
        <sz val="8"/>
        <rFont val="Arial"/>
        <family val="2"/>
      </rPr>
      <t xml:space="preserve"> </t>
    </r>
    <r>
      <rPr>
        <b/>
        <sz val="8"/>
        <rFont val="Arial"/>
        <family val="2"/>
      </rPr>
      <t>e Serviços</t>
    </r>
    <r>
      <rPr>
        <sz val="8"/>
        <rFont val="Arial"/>
        <family val="2"/>
      </rPr>
      <t>, observando as orientações contidas no edital no tocante aos valores máximos.</t>
    </r>
  </si>
  <si>
    <t>2.2</t>
  </si>
  <si>
    <r>
      <rPr>
        <sz val="8"/>
        <rFont val="Arial"/>
        <family val="2"/>
      </rPr>
      <t xml:space="preserve">Valide os coeficientes de participação dos insumos, constantes na </t>
    </r>
    <r>
      <rPr>
        <b/>
        <sz val="8"/>
        <rFont val="Arial"/>
        <family val="2"/>
      </rPr>
      <t>Planilha de Orçamento Analítico</t>
    </r>
    <r>
      <rPr>
        <sz val="8"/>
        <rFont val="Arial"/>
        <family val="2"/>
      </rPr>
      <t>.</t>
    </r>
  </si>
  <si>
    <t>2.3</t>
  </si>
  <si>
    <r>
      <rPr>
        <sz val="8"/>
        <rFont val="Arial"/>
        <family val="2"/>
      </rPr>
      <t xml:space="preserve">Preencha os coeficientes relativo à cada item da </t>
    </r>
    <r>
      <rPr>
        <b/>
        <sz val="8"/>
        <rFont val="Arial"/>
        <family val="2"/>
      </rPr>
      <t xml:space="preserve">Planilha de Composição do BDI, </t>
    </r>
    <r>
      <rPr>
        <sz val="8"/>
        <rFont val="Arial"/>
        <family val="2"/>
      </rPr>
      <t>realizando os ajustes que julgar necessário, observando as orientações sobre esta planilha, que estão descritas abaixo;</t>
    </r>
  </si>
  <si>
    <t>2.4</t>
  </si>
  <si>
    <t>2.5</t>
  </si>
  <si>
    <r>
      <rPr>
        <sz val="8"/>
        <rFont val="Arial"/>
        <family val="2"/>
      </rPr>
      <t xml:space="preserve">Neste momento o valor final da proposta já será conhecido. Preencha a </t>
    </r>
    <r>
      <rPr>
        <b/>
        <sz val="8"/>
        <rFont val="Arial"/>
        <family val="2"/>
      </rPr>
      <t>Planilha de Composição de Encargos Sociais</t>
    </r>
    <r>
      <rPr>
        <sz val="8"/>
        <rFont val="Arial"/>
        <family val="2"/>
      </rPr>
      <t xml:space="preserve"> com os percentuais de cada item que a compoe.</t>
    </r>
  </si>
  <si>
    <t>A</t>
  </si>
  <si>
    <t>SOBRE A PLANILHA DE ORÇAMENTO SINTÉTICO</t>
  </si>
  <si>
    <t>A1</t>
  </si>
  <si>
    <r>
      <rPr>
        <sz val="8"/>
        <rFont val="Arial"/>
        <family val="2"/>
      </rPr>
      <t xml:space="preserve">A Planilha Orçamentária </t>
    </r>
    <r>
      <rPr>
        <b/>
        <u val="single"/>
        <sz val="8"/>
        <color indexed="45"/>
        <rFont val="Arial"/>
        <family val="2"/>
      </rPr>
      <t>não</t>
    </r>
    <r>
      <rPr>
        <sz val="8"/>
        <rFont val="Arial"/>
        <family val="2"/>
      </rPr>
      <t xml:space="preserve"> poderá sofrer alterações em sua estrutura (adição ou subtração de serviços, ou mesmo alteração na quantidade dos itens);</t>
    </r>
  </si>
  <si>
    <t>A2</t>
  </si>
  <si>
    <r>
      <rPr>
        <sz val="8"/>
        <rFont val="Arial"/>
        <family val="2"/>
      </rPr>
      <t xml:space="preserve">Os preços unitários desta planilha estão vinculados, por dependência, às demais planilhas (Orçamento Analítico, Insumos e Serviços). Desta forma </t>
    </r>
    <r>
      <rPr>
        <b/>
        <u val="single"/>
        <sz val="8"/>
        <color indexed="45"/>
        <rFont val="Arial"/>
        <family val="2"/>
      </rPr>
      <t>NENHUM</t>
    </r>
    <r>
      <rPr>
        <sz val="8"/>
        <rFont val="Arial"/>
        <family val="2"/>
      </rPr>
      <t xml:space="preserve"> valor unitário deverá ser preenchido diretamente nesta planilha;</t>
    </r>
  </si>
  <si>
    <t>B</t>
  </si>
  <si>
    <t>SOBRE A PLANILHA DE ORÇAMENTO ANALÍTICO</t>
  </si>
  <si>
    <t>B1</t>
  </si>
  <si>
    <r>
      <rPr>
        <sz val="8"/>
        <rFont val="Arial"/>
        <family val="2"/>
      </rPr>
      <t xml:space="preserve">Esta planilha é referencial, portanto os </t>
    </r>
    <r>
      <rPr>
        <b/>
        <sz val="8"/>
        <rFont val="Arial"/>
        <family val="2"/>
      </rPr>
      <t xml:space="preserve">coeficientes </t>
    </r>
    <r>
      <rPr>
        <sz val="8"/>
        <rFont val="Arial"/>
        <family val="2"/>
      </rPr>
      <t>de participação dos insumos poderão sofrer alterações;</t>
    </r>
  </si>
  <si>
    <t>B2</t>
  </si>
  <si>
    <t>Esta planilha contem vínculos. Tornando-se dependente dos preços, descrições e unidades constantes tanto na Planilha de Insumos e Serviços quanto na Planilha de Orçamento Sintético;</t>
  </si>
  <si>
    <t>B3</t>
  </si>
  <si>
    <t>Os valores unitários de serviços compostos nesta planilha, são transportados automaticamente para a Planilha de Orçamento Sintético;</t>
  </si>
  <si>
    <t>C</t>
  </si>
  <si>
    <t>SOBRE A PLANILHA DE INSUMOS E SERVIÇOS</t>
  </si>
  <si>
    <t>C1</t>
  </si>
  <si>
    <t>Esta planilha constitui a base para estruturação dos preços unitários e totais.</t>
  </si>
  <si>
    <t>C2</t>
  </si>
  <si>
    <t>Valide os valores constantes nesta planilha, observando as orientações contidas no edital no tocante aos valores máximos.</t>
  </si>
  <si>
    <t>C3</t>
  </si>
  <si>
    <r>
      <rPr>
        <sz val="8"/>
        <rFont val="Arial"/>
        <family val="2"/>
      </rPr>
      <t>Os valores unitários deverão ser preenchidos com</t>
    </r>
    <r>
      <rPr>
        <b/>
        <u val="single"/>
        <sz val="8"/>
        <color indexed="45"/>
        <rFont val="Arial"/>
        <family val="2"/>
      </rPr>
      <t xml:space="preserve"> no máximo duas casas decimais</t>
    </r>
    <r>
      <rPr>
        <sz val="8"/>
        <rFont val="Arial"/>
        <family val="2"/>
      </rPr>
      <t>. Caso opte por aplicar um percentual lde desconto, certifique-se de utilizar fórmula de arredondamento ou truncamento respeitando este limite.</t>
    </r>
  </si>
  <si>
    <t>D</t>
  </si>
  <si>
    <t>SOBRE A PLANILHA DE MARCAS E MODELOS</t>
  </si>
  <si>
    <t>D1</t>
  </si>
  <si>
    <r>
      <rPr>
        <sz val="8"/>
        <rFont val="Arial"/>
        <family val="2"/>
      </rPr>
      <t xml:space="preserve">Indique a marca e modelo dos itens. </t>
    </r>
    <r>
      <rPr>
        <b/>
        <u val="single"/>
        <sz val="8"/>
        <color indexed="45"/>
        <rFont val="Arial"/>
        <family val="2"/>
      </rPr>
      <t>A não indicação  de marca e ou modelo de referência constitui afronta ao edital, sob pena de desclassificação da proposta.</t>
    </r>
  </si>
  <si>
    <t>E</t>
  </si>
  <si>
    <t>SOBRE A PLANILHA DE COMPOSIÇÃO DE BDI</t>
  </si>
  <si>
    <t>E1</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</si>
  <si>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</si>
  <si>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E2</t>
  </si>
  <si>
    <t>O percentual aplicável do ISS está vinculado ao percentual de mão de obra informado na Planilha de Composição de Custo Total, e será automaticamente ajustado quando executado a orientação contida em 2.4;</t>
  </si>
  <si>
    <t>E3</t>
  </si>
  <si>
    <t>O valor final da composição do BDI está vinculado, por precedência, à Planilha de Orçamento Sintético.</t>
  </si>
  <si>
    <t>F</t>
  </si>
  <si>
    <t>SOBRE A PLANILHA DE COMPOSIÇÃO DE ENCARGOS SOCIAIS</t>
  </si>
  <si>
    <t>F1</t>
  </si>
  <si>
    <t>Esta planilha é meramente demonstrativa (não influi sobre o valor final do orçamento).</t>
  </si>
  <si>
    <t>G</t>
  </si>
  <si>
    <t>SOBRE O CRONOGRAMA FÍSICO-FINANCEIRO</t>
  </si>
  <si>
    <t>G1</t>
  </si>
  <si>
    <t>Os itens e valores desta planiha são provenientes da Planilha de Orçamento Sintético;</t>
  </si>
  <si>
    <t>G2</t>
  </si>
  <si>
    <r>
      <rPr>
        <sz val="8"/>
        <rFont val="Arial"/>
        <family val="2"/>
      </rPr>
      <t xml:space="preserve">Os </t>
    </r>
    <r>
      <rPr>
        <b/>
        <sz val="8"/>
        <color indexed="45"/>
        <rFont val="Arial"/>
        <family val="2"/>
      </rPr>
      <t>serviços</t>
    </r>
    <r>
      <rPr>
        <sz val="8"/>
        <rFont val="Arial"/>
        <family val="2"/>
      </rPr>
      <t xml:space="preserve"> a serem executados mensalmente, deverão ser informadas na</t>
    </r>
    <r>
      <rPr>
        <b/>
        <sz val="8"/>
        <color indexed="45"/>
        <rFont val="Arial"/>
        <family val="2"/>
      </rPr>
      <t xml:space="preserve"> linha do percentual</t>
    </r>
    <r>
      <rPr>
        <sz val="8"/>
        <rFont val="Arial"/>
        <family val="2"/>
      </rPr>
      <t>, e os valores serão preenchidos automaticamente, inclusive nas etapas macro;</t>
    </r>
  </si>
  <si>
    <t>G3</t>
  </si>
  <si>
    <t>O ajuste final (última etapa) de um determinado item, deverá respeitar a fórmula inserida no último mês do cronograma, transportando-a quando necessário.</t>
  </si>
  <si>
    <t>Planilha Orçamentária Resumida</t>
  </si>
  <si>
    <t>Item</t>
  </si>
  <si>
    <t>Descrição</t>
  </si>
  <si>
    <t>Peso (%)</t>
  </si>
  <si>
    <t>V. Total (R$)</t>
  </si>
  <si>
    <t xml:space="preserve"> 1 </t>
  </si>
  <si>
    <t>SERVIÇOS TÉCNICOS-PROFISSIONAIS</t>
  </si>
  <si>
    <t xml:space="preserve"> 2 </t>
  </si>
  <si>
    <t>SERVIÇOS PRELIMINARES</t>
  </si>
  <si>
    <t xml:space="preserve"> 3 </t>
  </si>
  <si>
    <t>ARQUITETURA E ELEMENTOS DE URBANISMO</t>
  </si>
  <si>
    <t xml:space="preserve"> 4 </t>
  </si>
  <si>
    <t>INSTALAÇÕES ELÉTRICAS E ELETRÔNICAS</t>
  </si>
  <si>
    <t xml:space="preserve"> 5 </t>
  </si>
  <si>
    <t>INSTALAÇÕES HIDRÁULICAS E SANITÁRIAS</t>
  </si>
  <si>
    <t xml:space="preserve"> 7 </t>
  </si>
  <si>
    <t>INSTALAÇÕES MECÂNICAS E DE UTILIDADES</t>
  </si>
  <si>
    <t xml:space="preserve"> 8 </t>
  </si>
  <si>
    <t>INSTALAÇÕES DE PREVENÇÃO E COMBATE A INCÊNDIO</t>
  </si>
  <si>
    <t xml:space="preserve"> 9 </t>
  </si>
  <si>
    <t>SERVIÇOS COMPLEMENTARES</t>
  </si>
  <si>
    <t xml:space="preserve"> 10 </t>
  </si>
  <si>
    <t>SERVIÇOS AUXILIARES E ADMINISTRATIVOS</t>
  </si>
  <si>
    <t>Total sem BDI</t>
  </si>
  <si>
    <t>Total do BDI</t>
  </si>
  <si>
    <t>Total Geral</t>
  </si>
  <si>
    <t>P. Execução:</t>
  </si>
  <si>
    <t>Licitação:</t>
  </si>
  <si>
    <r>
      <rPr>
        <b/>
        <sz val="8"/>
        <color indexed="55"/>
        <rFont val="Arial"/>
        <family val="2"/>
      </rPr>
      <t xml:space="preserve">Objeto: </t>
    </r>
    <r>
      <rPr>
        <sz val="8"/>
        <color indexed="55"/>
        <rFont val="Arial"/>
        <family val="2"/>
      </rPr>
      <t>Remanescente da reforma acessibilidade do edifício das Promotorias de Justiça da Infância</t>
    </r>
  </si>
  <si>
    <t>Data:</t>
  </si>
  <si>
    <r>
      <rPr>
        <b/>
        <sz val="8"/>
        <color indexed="55"/>
        <rFont val="Arial"/>
        <family val="2"/>
      </rPr>
      <t>Local:</t>
    </r>
    <r>
      <rPr>
        <sz val="8"/>
        <color indexed="55"/>
        <rFont val="Arial"/>
        <family val="2"/>
      </rPr>
      <t xml:space="preserve"> SEPN 711/911, - Asa Norte Bloco B - Brasília – DF</t>
    </r>
  </si>
  <si>
    <t>P. Validade:</t>
  </si>
  <si>
    <t>Razão Social:</t>
  </si>
  <si>
    <t>Telefone:</t>
  </si>
  <si>
    <t>P. Garantia:</t>
  </si>
  <si>
    <t>CNPJ:</t>
  </si>
  <si>
    <t>E-mail:</t>
  </si>
  <si>
    <t>H</t>
  </si>
  <si>
    <t>Planilha Orçamentária Sintética</t>
  </si>
  <si>
    <t>Código</t>
  </si>
  <si>
    <t>Banco</t>
  </si>
  <si>
    <t>Und</t>
  </si>
  <si>
    <t>Quant.</t>
  </si>
  <si>
    <t>V. Unit. (R$)</t>
  </si>
  <si>
    <t>TAXAS E EMOLUMENTOS</t>
  </si>
  <si>
    <t>Próprio</t>
  </si>
  <si>
    <t>un</t>
  </si>
  <si>
    <t xml:space="preserve"> 97051 </t>
  </si>
  <si>
    <t xml:space="preserve"> MPDFT0714 </t>
  </si>
  <si>
    <t xml:space="preserve"> 73847/001 </t>
  </si>
  <si>
    <t xml:space="preserve"> MPDFT0622 </t>
  </si>
  <si>
    <t>m²</t>
  </si>
  <si>
    <t>M</t>
  </si>
  <si>
    <t>UN</t>
  </si>
  <si>
    <t xml:space="preserve"> MPDFT0747 </t>
  </si>
  <si>
    <t>Copia da SIURB (175023) - DEMOLIÇÃO MECANIZADA DE CONCRETO ARMADO</t>
  </si>
  <si>
    <t>m³</t>
  </si>
  <si>
    <t xml:space="preserve"> 90441 </t>
  </si>
  <si>
    <t xml:space="preserve"> 97622 </t>
  </si>
  <si>
    <t xml:space="preserve"> 97634 </t>
  </si>
  <si>
    <t xml:space="preserve"> MPDFT0601 </t>
  </si>
  <si>
    <t>Copia da CPOS (04.09.080) - Retirada de batente, corrimão ou peças lineares metálicas, fixados</t>
  </si>
  <si>
    <t>m</t>
  </si>
  <si>
    <t xml:space="preserve"> 97665 </t>
  </si>
  <si>
    <t xml:space="preserve"> MPDFT0109 </t>
  </si>
  <si>
    <t>Copia da CPOS (04.30.060) - Remoção de tubulação hidráulica em geral, incluindo conexões, caixas e ralos</t>
  </si>
  <si>
    <t xml:space="preserve"> 90778 </t>
  </si>
  <si>
    <t xml:space="preserve"> 93572 </t>
  </si>
  <si>
    <t>ARQUITETURA</t>
  </si>
  <si>
    <t xml:space="preserve"> 101159 </t>
  </si>
  <si>
    <t xml:space="preserve"> 89173 </t>
  </si>
  <si>
    <t xml:space="preserve"> 88496 </t>
  </si>
  <si>
    <t>Pinturas</t>
  </si>
  <si>
    <t xml:space="preserve"> 88489 </t>
  </si>
  <si>
    <t xml:space="preserve"> 88488 </t>
  </si>
  <si>
    <t xml:space="preserve"> 100758 </t>
  </si>
  <si>
    <t xml:space="preserve"> 99803 </t>
  </si>
  <si>
    <t>INSTALAÇÕES ELÉTRICAS</t>
  </si>
  <si>
    <t xml:space="preserve"> 91927 </t>
  </si>
  <si>
    <t>SERVIÇOS DIVERSOS</t>
  </si>
  <si>
    <t xml:space="preserve"> 93358 </t>
  </si>
  <si>
    <t>Material</t>
  </si>
  <si>
    <t>Mão de Obra</t>
  </si>
  <si>
    <t>Planilha Orçamentária Analítica</t>
  </si>
  <si>
    <t xml:space="preserve"> CM0645 </t>
  </si>
  <si>
    <t xml:space="preserve"> 88316 </t>
  </si>
  <si>
    <t xml:space="preserve"> 00003777 </t>
  </si>
  <si>
    <t xml:space="preserve"> 88239 </t>
  </si>
  <si>
    <t xml:space="preserve"> CM0748 </t>
  </si>
  <si>
    <t xml:space="preserve"> 88248 </t>
  </si>
  <si>
    <t xml:space="preserve"> 88267 </t>
  </si>
  <si>
    <t xml:space="preserve"> 5952 </t>
  </si>
  <si>
    <t xml:space="preserve"> 5795 </t>
  </si>
  <si>
    <t xml:space="preserve"> 90973 </t>
  </si>
  <si>
    <t xml:space="preserve"> 90972 </t>
  </si>
  <si>
    <t xml:space="preserve"> 88309 </t>
  </si>
  <si>
    <t xml:space="preserve"> 88315 </t>
  </si>
  <si>
    <t xml:space="preserve"> 88251 </t>
  </si>
  <si>
    <t xml:space="preserve"> 88243 </t>
  </si>
  <si>
    <t xml:space="preserve"> 88325 </t>
  </si>
  <si>
    <t xml:space="preserve"> 88264 </t>
  </si>
  <si>
    <t xml:space="preserve"> 88247 </t>
  </si>
  <si>
    <t xml:space="preserve"> 97915 </t>
  </si>
  <si>
    <t xml:space="preserve"> 88278 </t>
  </si>
  <si>
    <t xml:space="preserve"> 88262 </t>
  </si>
  <si>
    <t xml:space="preserve"> 97114 </t>
  </si>
  <si>
    <t xml:space="preserve"> 91277 </t>
  </si>
  <si>
    <t xml:space="preserve"> 91278 </t>
  </si>
  <si>
    <t xml:space="preserve"> 00004721 </t>
  </si>
  <si>
    <t xml:space="preserve"> 00000142 </t>
  </si>
  <si>
    <t xml:space="preserve"> 88256 </t>
  </si>
  <si>
    <t xml:space="preserve"> 00007334 </t>
  </si>
  <si>
    <t xml:space="preserve"> 88310 </t>
  </si>
  <si>
    <t xml:space="preserve"> 00007343 </t>
  </si>
  <si>
    <t xml:space="preserve"> 88270 </t>
  </si>
  <si>
    <t xml:space="preserve"> 87905 </t>
  </si>
  <si>
    <t xml:space="preserve"> 87298 </t>
  </si>
  <si>
    <t xml:space="preserve"> 88274 </t>
  </si>
  <si>
    <t xml:space="preserve"> CM0169 </t>
  </si>
  <si>
    <t xml:space="preserve"> 00034353 </t>
  </si>
  <si>
    <t xml:space="preserve"> 00021012 </t>
  </si>
  <si>
    <t xml:space="preserve"> 00011002 </t>
  </si>
  <si>
    <t xml:space="preserve"> 00001379 </t>
  </si>
  <si>
    <t xml:space="preserve"> CM1688 </t>
  </si>
  <si>
    <t xml:space="preserve"> 00007568 </t>
  </si>
  <si>
    <t xml:space="preserve"> 91170 </t>
  </si>
  <si>
    <t>Insumos e Serviços</t>
  </si>
  <si>
    <t>Classificação</t>
  </si>
  <si>
    <t>SINAPI</t>
  </si>
  <si>
    <t>Insumo</t>
  </si>
  <si>
    <t>KG</t>
  </si>
  <si>
    <t>SELANTE ELASTICO MONOCOMPONENTE A BASE DE POLIURETANO (PU) PARA JUNTAS DIVERSAS</t>
  </si>
  <si>
    <t>310ML</t>
  </si>
  <si>
    <t>L</t>
  </si>
  <si>
    <t>CIMENTO PORTLAND COMPOSTO CP II-32</t>
  </si>
  <si>
    <t>PEDRA BRITADA N. 1 (9,5 a 19 MM) POSTO PEDREIRA/FORNECEDOR, SEM FRETE</t>
  </si>
  <si>
    <t>ADITIVO ADESIVO LIQUIDO PARA ARGAMASSAS DE REVESTIMENTOS CIMENTICIOS</t>
  </si>
  <si>
    <t>BUCHA DE NYLON SEM ABA S10, COM PARAFUSO DE 6,10 X 65 MM EM ACO ZINCADO COM ROSCA SOBERBA, CABECA CHATA E FENDA PHILLIPS</t>
  </si>
  <si>
    <t>MES</t>
  </si>
  <si>
    <t>ELETRODO REVESTIDO AWS - E6013, DIAMETRO IGUAL A 2,50 MM</t>
  </si>
  <si>
    <t>TUBO ACO GALVANIZADO COM COSTURA, CLASSE LEVE, DN 40 MM ( 1 1/2"),  E = 3,00 MM,  *3,48* KG/M (NBR 5580)</t>
  </si>
  <si>
    <t>ARGAMASSA COLANTE AC II</t>
  </si>
  <si>
    <t>l</t>
  </si>
  <si>
    <t>Composição</t>
  </si>
  <si>
    <t>SINALIZAÇÃO COM FITA FIXADA NA ESTRUTURA. AF_11/2017</t>
  </si>
  <si>
    <t>ALUGUEL CONTAINER/ESCRIT INCL INST ELET LARG=2,20 COMP=6,20M          ALT=2,50M CHAPA ACO C/NERV TRAPEZ FORRO C/ISOL TERMO/ACUSTICO         CHASSIS REFORC PISO COMPENS NAVAL EXC TRANSP/CARGA/DESCARGA</t>
  </si>
  <si>
    <t xml:space="preserve"> 97632 </t>
  </si>
  <si>
    <t>DEMOLIÇÃO DE RODAPÉ CERÂMICO, DE FORMA MANUAL, SEM REAPROVEITAMENTO. AF_12/2017</t>
  </si>
  <si>
    <t>DEMOLIÇÃO DE REVESTIMENTO CERÂMICO, DE FORMA MECANIZADA COM MARTELETE, SEM REAPROVEITAMENTO. AF_12/2017</t>
  </si>
  <si>
    <t>DEMOLIÇÃO DE ALVENARIA DE BLOCO FURADO, DE FORMA MANUAL, SEM REAPROVEITAMENTO. AF_12/2017</t>
  </si>
  <si>
    <t xml:space="preserve"> 90443 </t>
  </si>
  <si>
    <t>RASGO EM ALVENARIA PARA RAMAIS/ DISTRIBUIÇÃO COM DIAMETROS MENORES OU IGUAIS A 40 MM. AF_05/2015</t>
  </si>
  <si>
    <t>REMOÇÃO DE LUMINÁRIAS, DE FORMA MANUAL, SEM REAPROVEITAMENTO. AF_12/2017</t>
  </si>
  <si>
    <t xml:space="preserve"> 97644 </t>
  </si>
  <si>
    <t>REMOÇÃO DE PORTAS, DE FORMA MANUAL, SEM REAPROVEITAMENTO. AF_12/2017</t>
  </si>
  <si>
    <t xml:space="preserve"> 97641 </t>
  </si>
  <si>
    <t>REMOÇÃO DE FORRO DE GESSO, DE FORMA MANUAL, SEM REAPROVEITAMENTO. AF_12/2017</t>
  </si>
  <si>
    <t xml:space="preserve"> 97663 </t>
  </si>
  <si>
    <t>REMOÇÃO DE LOUÇAS, DE FORMA MANUAL, SEM REAPROVEITAMENTO. AF_12/2017</t>
  </si>
  <si>
    <t xml:space="preserve"> 97666 </t>
  </si>
  <si>
    <t>REMOÇÃO DE METAIS SANITÁRIOS, DE FORMA MANUAL, SEM REAPROVEITAMENTO. AF_12/2017</t>
  </si>
  <si>
    <t xml:space="preserve"> 97637 </t>
  </si>
  <si>
    <t>REMOÇÃO DE TAPUME/ CHAPAS METÁLICAS E DE MADEIRA, DE FORMA MANUAL, SEM REAPROVEITAMENTO. AF_12/2017</t>
  </si>
  <si>
    <t xml:space="preserve"> 87515 </t>
  </si>
  <si>
    <t>ALVENARIA DE VEDAÇÃO DE BLOCOS CERÂMICOS FURADOS NA HORIZONTAL DE 9X14X19CM (ESPESSURA 9CM) DE PAREDES COM ÁREA LÍQUIDA MENOR QUE 6M² COM VÃOS E ARGAMASSA DE ASSENTAMENTO COM PREPARO EM BETONEIRA. AF_06/2014</t>
  </si>
  <si>
    <t xml:space="preserve"> 93202 </t>
  </si>
  <si>
    <t>FIXAÇÃO (ENCUNHAMENTO) DE ALVENARIA DE VEDAÇÃO COM TIJOLO MACIÇO. AF_03/2016</t>
  </si>
  <si>
    <t xml:space="preserve"> 90466 </t>
  </si>
  <si>
    <t>CHUMBAMENTO LINEAR EM ALVENARIA PARA RAMAIS/DISTRIBUIÇÃO COM DIÂMETROS MENORES OU IGUAIS A 40 MM. AF_05/2015</t>
  </si>
  <si>
    <t xml:space="preserve"> 102181 </t>
  </si>
  <si>
    <t>INSTALAÇÃO DE VIDRO TEMPERADO, E = 10 MM, ENCAIXADO EM PERFIL U. AF_01/2021_P</t>
  </si>
  <si>
    <t xml:space="preserve"> 95241 </t>
  </si>
  <si>
    <t>LASTRO DE CONCRETO MAGRO, APLICADO EM PISOS, LAJES SOBRE SOLO OU RADIERS, ESPESSURA DE 5 CM. AF_07/2016</t>
  </si>
  <si>
    <t xml:space="preserve"> 87879 </t>
  </si>
  <si>
    <t>CHAPISCO APLICADO EM ALVENARIAS E ESTRUTURAS DE CONCRETO INTERNAS, COM COLHER DE PEDREIRO.  ARGAMASSA TRAÇO 1:3 COM PREPARO EM BETONEIRA 400L. AF_06/2014</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</si>
  <si>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</si>
  <si>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87421 </t>
  </si>
  <si>
    <t>APLICAÇÃO MANUAL DE GESSO DESEMPENADO (SEM TALISCAS) EM PAREDES DE AMBIENTES DE ÁREA ENTRE 5M² E 10M², ESPESSURA DE 1,0CM. AF_06/2014</t>
  </si>
  <si>
    <t xml:space="preserve"> 102194 </t>
  </si>
  <si>
    <t>LIXAMENTO DE MASSA PARA MADEIRA. AF_01/2021</t>
  </si>
  <si>
    <t xml:space="preserve"> 96114 </t>
  </si>
  <si>
    <t>FORRO EM DRYWALL, PARA AMBIENTES COMERCIAIS, INCLUSIVE ESTRUTURA DE FIXAÇÃO. AF_05/2017_P</t>
  </si>
  <si>
    <t>APLICAÇÃO MANUAL DE PINTURA COM TINTA LÁTEX ACRÍLICA EM TETO, DUAS DEMÃOS. AF_06/2014</t>
  </si>
  <si>
    <t>APLICAÇÃO E LIXAMENTO DE MASSA LÁTEX EM TETO, DUAS DEMÃOS. AF_06/2014</t>
  </si>
  <si>
    <t>APLICAÇÃO MANUAL DE PINTURA COM TINTA LÁTEX ACRÍLICA EM PAREDES, DUAS DEMÃOS. AF_06/2014</t>
  </si>
  <si>
    <t xml:space="preserve"> 88497 </t>
  </si>
  <si>
    <t>APLICAÇÃO E LIXAMENTO DE MASSA LÁTEX EM PAREDES, DUAS DEMÃOS. AF_06/2014</t>
  </si>
  <si>
    <t>PINTURA COM TINTA ALQUÍDICA DE ACABAMENTO (ESMALTE SINTÉTICO ACETINADO) APLICADA A ROLO OU PINCEL SOBRE SUPERFÍCIES METÁLICAS (EXCETO PERFIL) EXECUTADO EM OBRA (02 DEMÃOS). AF_01/2020</t>
  </si>
  <si>
    <t xml:space="preserve"> 100722 </t>
  </si>
  <si>
    <t>PINTURA COM TINTA ALQUÍDICA DE FUNDO (TIPO ZARCÃO) APLICADA A ROLO OU PINCEL SOBRE SUPERFÍCIES METÁLICAS (EXCETO PERFIL) EXECUTADO EM OBRA (POR DEMÃO). AF_01/2020</t>
  </si>
  <si>
    <t xml:space="preserve"> 74245/001 </t>
  </si>
  <si>
    <t>PINTURA ACRILICA EM PISO CIMENTADO DUAS DEMAOS</t>
  </si>
  <si>
    <t xml:space="preserve"> 98555 </t>
  </si>
  <si>
    <t>IMPERMEABILIZAÇÃO DE SUPERFÍCIE COM ARGAMASSA POLIMÉRICA / MEMBRANA ACRÍLICA, 3 DEMÃOS. AF_06/2018</t>
  </si>
  <si>
    <t xml:space="preserve"> 98689 </t>
  </si>
  <si>
    <t>SOLEIRA EM GRANITO, LARGURA 15 CM, ESPESSURA 2,0 CM. AF_06/2018</t>
  </si>
  <si>
    <t xml:space="preserve"> 100872 </t>
  </si>
  <si>
    <t>BARRA DE APOIO RETA, EM ALUMINIO, COMPRIMENTO 80 CM,  FIXADA NA PAREDE - FORNECIMENTO E INSTALAÇÃO. AF_01/2020</t>
  </si>
  <si>
    <t xml:space="preserve"> 100871 </t>
  </si>
  <si>
    <t>BARRA DE APOIO RETA, EM ALUMINIO, COMPRIMENTO 70 CM,  FIXADA NA PAREDE - FORNECIMENTO E INSTALAÇÃO. AF_01/2020</t>
  </si>
  <si>
    <t xml:space="preserve"> 100864 </t>
  </si>
  <si>
    <t>BARRA DE APOIO EM "L", EM ACO INOX POLIDO 80 X 80 CM, FIXADA NA PAREDE - FORNECIMENTO E INSTALACAO. AF_01/2020</t>
  </si>
  <si>
    <t xml:space="preserve"> 100875 </t>
  </si>
  <si>
    <t>BANCO ARTICULADO, EM ACO INOX, PARA PCD, FIXADO NA PAREDE - FORNECIMENTO E INSTALAÇÃO. AF_01/2020</t>
  </si>
  <si>
    <t xml:space="preserve"> 100860 </t>
  </si>
  <si>
    <t>CHUVEIRO ELÉTRICO COMUM CORPO PLÁSTICO, TIPO DUCHA  FORNECIMENTO E INSTALAÇÃO. AF_01/2020</t>
  </si>
  <si>
    <t xml:space="preserve"> 100861 </t>
  </si>
  <si>
    <t>SUPORTE MÃO FRANCESA EM AÇO, ABAS IGUAIS 30 CM, CAPACIDADE MINIMA 60 KG, BRANCO - FORNECIMENTO E INSTALAÇÃO. AF_01/2020</t>
  </si>
  <si>
    <t xml:space="preserve"> 92980 </t>
  </si>
  <si>
    <t>CABO DE COBRE FLEXÍVEL ISOLADO, 10 MM², ANTI-CHAMA 0,6/1,0 KV, PARA DISTRIBUIÇÃO - FORNECIMENTO E INSTALAÇÃO. AF_12/2015</t>
  </si>
  <si>
    <t xml:space="preserve"> 95731 </t>
  </si>
  <si>
    <t>ELETRODUTO RÍGIDO SOLDÁVEL, PVC, DN 32 MM (1), APARENTE, INSTALADO EM PAREDE - FORNECIMENTO E INSTALAÇÃO. AF_11/2016_P</t>
  </si>
  <si>
    <t xml:space="preserve"> 95809 </t>
  </si>
  <si>
    <t>CONDULETE DE PVC, TIPO LL, PARA ELETRODUTO DE PVC SOLDÁVEL DN 32 MM (1''), APARENTE - FORNECIMENTO E INSTALAÇÃO. AF_11/2016</t>
  </si>
  <si>
    <t xml:space="preserve"> 91926 </t>
  </si>
  <si>
    <t>CABO DE COBRE FLEXÍVEL ISOLADO, 2,5 MM², ANTI-CHAMA 450/750 V, PARA CIRCUITOS TERMINAIS - FORNECIMENTO E INSTALAÇÃO. AF_12/2015</t>
  </si>
  <si>
    <t xml:space="preserve"> 91930 </t>
  </si>
  <si>
    <t>CABO DE COBRE FLEXÍVEL ISOLADO, 6 MM², ANTI-CHAMA 450/750 V, PARA CIRCUITOS TERMINAIS - FORNECIMENTO E INSTALAÇÃO. AF_12/2015</t>
  </si>
  <si>
    <t>CABO DE COBRE FLEXÍVEL ISOLADO, 2,5 MM², ANTI-CHAMA 0,6/1,0 KV, PARA CIRCUITOS TERMINAIS - FORNECIMENTO E INSTALAÇÃO. AF_12/2015</t>
  </si>
  <si>
    <t xml:space="preserve"> 95811 </t>
  </si>
  <si>
    <t>CONDULETE DE PVC, TIPO LB, PARA ELETRODUTO DE PVC SOLDÁVEL DN 25 MM (3/4</t>
  </si>
  <si>
    <t xml:space="preserve"> 95812 </t>
  </si>
  <si>
    <t>CONDULETE DE PVC, TIPO LB, PARA ELETRODUTO DE PVC SOLDÁVEL DN 32 MM (1</t>
  </si>
  <si>
    <t xml:space="preserve"> 92023 </t>
  </si>
  <si>
    <t>INTERRUPTOR SIMPLES (1 MÓDULO) COM 1 TOMADA DE EMBUTIR 2P+T 10 A,  INCLUINDO SUPORTE E PLACA - FORNECIMENTO E INSTALAÇÃO. AF_12/2015</t>
  </si>
  <si>
    <t xml:space="preserve"> 91953 </t>
  </si>
  <si>
    <t>INTERRUPTOR SIMPLES (1 MÓDULO), 10A/250V, INCLUINDO SUPORTE E PLACA - FORNECIMENTO E INSTALAÇÃO. AF_12/2015</t>
  </si>
  <si>
    <t xml:space="preserve"> 91940 </t>
  </si>
  <si>
    <t>CAIXA RETANGULAR 4" X 2" MÉDIA (1,30 M DO PISO), PVC, INSTALADA EM PAREDE - FORNECIMENTO E INSTALAÇÃO. AF_12/2015</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</si>
  <si>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</si>
  <si>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</si>
  <si>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</si>
  <si>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</si>
  <si>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94794 </t>
  </si>
  <si>
    <t>REGISTRO DE GAVETA BRUTO, LATÃO, ROSCÁVEL, 1 1/2, COM ACABAMENTO E CANOPLA CROMADOS, INSTALADO EM RESERVAÇÃO DE ÁGUA DE EDIFICAÇÃO QUE POSSUA RESERVATÓRIO DE FIBRA/FIBROCIMENTO  FORNECIMENTO E INSTALAÇÃO. AF_06/2016</t>
  </si>
  <si>
    <t xml:space="preserve"> 89987 </t>
  </si>
  <si>
    <t>REGISTRO DE GAVETA BRUTO, LATÃO, ROSCÁVEL, 3/4", COM ACABAMENTO E CANOPLA CROMADOS. FORNECIDO E INSTALADO EM RAMAL DE ÁGUA. AF_12/2014</t>
  </si>
  <si>
    <t xml:space="preserve"> 89985 </t>
  </si>
  <si>
    <t>REGISTRO DE PRESSÃO BRUTO, LATÃO, ROSCÁVEL, 3/4", COM ACABAMENTO E CANOPLA CROMADOS. FORNECIDO E INSTALADO EM RAMAL DE ÁGUA. AF_12/2014</t>
  </si>
  <si>
    <t xml:space="preserve"> 91795 </t>
  </si>
  <si>
    <t>(COMPOSIÇÃO REPRESENTATIVA) DO SERVIÇO DE INST. TUBO PVC, SÉRIE N, ESGOTO PREDIAL, 100 MM (INST. RAMAL DESCARGA, RAMAL DE ESG. SANIT., PRUMADA ESG. SANIT., VENTILAÇÃO OU SUB-COLETOR AÉREO), INCL. CONEXÕES E CORTES, FIXAÇÕES, P/ PRÉDIOS. AF_10/2015</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</si>
  <si>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</si>
  <si>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</si>
  <si>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</si>
  <si>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</si>
  <si>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</si>
  <si>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</si>
  <si>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89708 </t>
  </si>
  <si>
    <t>CAIXA SIFONADA, PVC, DN 150 X 185 X 75 MM, JUNTA ELÁSTICA, FORNECIDA E INSTALADA EM RAMAL DE DESCARGA OU EM RAMAL DE ESGOTO SANITÁRIO. AF_12/2014</t>
  </si>
  <si>
    <t xml:space="preserve"> 98110 </t>
  </si>
  <si>
    <t>CAIXA DE GORDURA PEQUENA (CAPACIDADE: 19 L), CIRCULAR, EM PVC, DIÂMETRO INTERNO= 0,3 M. AF_05/2018</t>
  </si>
  <si>
    <t xml:space="preserve"> 89452 </t>
  </si>
  <si>
    <t>TUBO, PVC, SOLDÁVEL, DN 85MM, INSTALADO EM PRUMADA DE ÁGUA - FORNECIMENTO E INSTALAÇÃO. AF_12/2014</t>
  </si>
  <si>
    <t xml:space="preserve"> 91788 </t>
  </si>
  <si>
    <t>(COMPOSIÇÃO REPRESENTATIVA) DO SERVIÇO DE INSTALAÇÃO DE TUBOS DE PVC, SOLDÁVEL, ÁGUA FRIA, DN 50 MM (INSTALADO EM PRUMADA), INCLUSIVE CONEXÕES, CORTES E FIXAÇÕES, PARA PRÉDIOS. AF_10/2015</t>
  </si>
  <si>
    <t xml:space="preserve"> 89631 </t>
  </si>
  <si>
    <t>TE, PVC, SOLDÁVEL, DN 85MM, INSTALADO EM PRUMADA DE ÁGUA - FORNECIMENTO E INSTALAÇÃO. AF_12/2014</t>
  </si>
  <si>
    <t xml:space="preserve"> 89521 </t>
  </si>
  <si>
    <t>JOELHO 90 GRAUS, PVC, SOLDÁVEL, DN 85MM, INSTALADO EM PRUMADA DE ÁGUA - FORNECIMENTO E INSTALAÇÃO. AF_12/2014</t>
  </si>
  <si>
    <t xml:space="preserve"> 91187 </t>
  </si>
  <si>
    <t>FIXAÇÃO DE TUBOS HORIZONTAIS DE PVC, CPVC OU COBRE DIÂMETROS MAIORES QUE 75 MM COM ABRAÇADEIRA METÁLICA FLEXÍVEL 18 MM, FIXADA DIRETAMENTE NA LAJE. AF_05/2015</t>
  </si>
  <si>
    <t xml:space="preserve"> 91186 </t>
  </si>
  <si>
    <t>FIXAÇÃO DE TUBOS HORIZONTAIS DE PVC, CPVC OU COBRE DIÂMETROS MAIORES QUE 40 MM E MENORES OU IGUAIS A 75 MM COM ABRAÇADEIRA METÁLICA FLEXÍVEL 18 MM, FIXADA DIRETAMENTE NA LAJE. AF_05/2015</t>
  </si>
  <si>
    <t>ESCAVAÇÃO MANUAL DE VALA COM PROFUNDIDADE MENOR OU IGUAL A 1,30 M. AF_03/2016</t>
  </si>
  <si>
    <t xml:space="preserve"> 93382 </t>
  </si>
  <si>
    <t>REATERRO MANUAL DE VALAS COM COMPACTAÇÃO MECANIZADA. AF_04/2016</t>
  </si>
  <si>
    <t>FURO EM CONCRETO PARA DIÂMETROS MAIORES QUE 75 MM. AF_05/2015</t>
  </si>
  <si>
    <t xml:space="preserve"> 100196 </t>
  </si>
  <si>
    <t>TRANSPORTE HORIZONTAL MANUAL, DE SACOS DE 30 KG (UNIDADE: KGXKM). AF_07/2019</t>
  </si>
  <si>
    <t>KGXKM</t>
  </si>
  <si>
    <t>LIMPEZA DE PISO CERÂMICO OU PORCELANATO COM PANO ÚMIDO. AF_04/2019</t>
  </si>
  <si>
    <t xml:space="preserve"> 99817 </t>
  </si>
  <si>
    <t>LIMPEZA DE LAVATÓRIO DE LOUÇA COM BANCADA DE PEDRA, INCLUSIVE METAIS CORRESPONDENTES. AF_04/2019</t>
  </si>
  <si>
    <t xml:space="preserve"> 99811 </t>
  </si>
  <si>
    <t>LIMPEZA DE CONTRAPISO COM VASSOURA A SECO. AF_04/2019</t>
  </si>
  <si>
    <t xml:space="preserve"> 99806 </t>
  </si>
  <si>
    <t>LIMPEZA DE REVESTIMENTO CERÂMICO EM PAREDE COM PANO ÚMIDO AF_04/2019</t>
  </si>
  <si>
    <t xml:space="preserve"> 99825 </t>
  </si>
  <si>
    <t>LIMPEZA DE PORTA DE VIDRO COM CAIXILHO EM AÇO/ ALUMÍNIO/ PVC. AF_04/2019</t>
  </si>
  <si>
    <t xml:space="preserve"> 99818 </t>
  </si>
  <si>
    <t>LIMPEZA DE BACIA SANITÁRIA, BIDÊ OU MICTÓRIO EM LOUÇA, INCLUSIVE METAIS CORRESPONDENTES. AF_04/2019</t>
  </si>
  <si>
    <t>ENCARREGADO GERAL DE OBRAS COM ENCARGOS COMPLEMENTARES</t>
  </si>
  <si>
    <t>ENGENHEIRO CIVIL DE OBRA PLENO COM ENCARGOS COMPLEMENTARES</t>
  </si>
  <si>
    <t>ALVENARIA DE VEDAÇÃO DE BLOCOS CERÂMICOS MACIÇOS DE 5X10X20CM (ESPESSURA 10CM) E ARGAMASSA DE ASSENTAMENTO COM PREPARO EM BETONEIRA. AF_05/2020</t>
  </si>
  <si>
    <t xml:space="preserve"> CM0045 </t>
  </si>
  <si>
    <t>Assento plástico Monte Carlo AP.80.17 Deca</t>
  </si>
  <si>
    <t xml:space="preserve"> CM0046 </t>
  </si>
  <si>
    <t>Grelha de exaustão de plástico para duto flexível diâmetro 100mm, com lâminas inclinadas. Modelo de referência: Soler&amp;Palau OTAM GR-100</t>
  </si>
  <si>
    <t xml:space="preserve"> CM0121 </t>
  </si>
  <si>
    <t>Grelha para ralo quadrado em aço inox AISI 304, fab. Tramontina, código 94535002, dimensões (comprimento x largura x altura) 100 x 100 x 4 mm</t>
  </si>
  <si>
    <t xml:space="preserve"> CM0126 </t>
  </si>
  <si>
    <t>Barra de apoio tubular reta 45cm, Ø31,75mm e=2mm, em alumínio, acabamento com pintura epóxi branca, Linha Acessibilidade, fab. Leve Vida</t>
  </si>
  <si>
    <t xml:space="preserve"> CM0129 </t>
  </si>
  <si>
    <t>Bacia sanitária, Linha Vogue Plus Conforto, cor branco gelo, código P. 510, fab. Deca</t>
  </si>
  <si>
    <t xml:space="preserve"> CM0134 </t>
  </si>
  <si>
    <t>Torneira para lavatório de mesa, cromada, fechamento automático, Decamatic Eco, Código 1173.C, fab. Deca</t>
  </si>
  <si>
    <t xml:space="preserve"> CM0135 </t>
  </si>
  <si>
    <t>Válvula de escoamento, cromada, cod.1601C, fab. Deca</t>
  </si>
  <si>
    <t xml:space="preserve"> CM0137 </t>
  </si>
  <si>
    <t>Ligação flexível de malha de aço 50cm, ref. 4607C 050, fab. Deca</t>
  </si>
  <si>
    <t xml:space="preserve"> CM0139 </t>
  </si>
  <si>
    <t>Bacia sanitária, cor branco gelo, linha Monte Carlo, código P.8.17, fab. Deca</t>
  </si>
  <si>
    <t xml:space="preserve"> CM0143 </t>
  </si>
  <si>
    <t>Torneira para lavatório de mesa com alavanca, cromada, fechamento automático, Linha Pressmatic Benefit, Código 00490706, fab. Docol</t>
  </si>
  <si>
    <t xml:space="preserve"> CM0147 </t>
  </si>
  <si>
    <t>Lavatório de semi-encaixe de louça, linha Monte Carlo, cor branco gelo, código L82, fab. Deca</t>
  </si>
  <si>
    <t xml:space="preserve"> CM0156 </t>
  </si>
  <si>
    <t>Cuba de aço inox, DM 34x56x17 cm, linha Prime, mod. Retangular BL, ref. 94024206, fab. Tramontina</t>
  </si>
  <si>
    <t xml:space="preserve"> CM0157 </t>
  </si>
  <si>
    <t>Sifão simples com polipropileno com fecho hídrico, ref. 94525000 , fab. Tramontina</t>
  </si>
  <si>
    <t xml:space="preserve"> CM0160 </t>
  </si>
  <si>
    <t>Tanque de louça 40 litros para coluna, cor branco; fabricação Deca, código TQ.03 (tanque) cor branco gelo GE17</t>
  </si>
  <si>
    <t xml:space="preserve"> CM0161 </t>
  </si>
  <si>
    <t>Coluna de louça para tanque TQ 03 fab. Deca, código CT25</t>
  </si>
  <si>
    <t xml:space="preserve"> CM0162 </t>
  </si>
  <si>
    <t>Válvula de escoamento (sem ladrão), 1 ½”, ref. 1606 C, cromada, fab. Deca</t>
  </si>
  <si>
    <t xml:space="preserve"> CM0163 </t>
  </si>
  <si>
    <t>Torneira de parede uso geral com arejador, metálica com acabamento cromado, fab. Deca, Linha Standard, código 1154.C39</t>
  </si>
  <si>
    <t>Impermeabilizante hidrofugante com efeito natural que não altera a cor da superfície, adequado para aplicação em granito, ref. Bellinzoni Proteção Contra Manchas</t>
  </si>
  <si>
    <t xml:space="preserve"> CM0174 </t>
  </si>
  <si>
    <t>Divisória sanitários e vestiários em laminado estrutural TS (maciço), branco, com e=10 mm, dupla face decorativa texturizada, modelo Alcoplac Normatizado, fab. Neocom, incluindo portas e conjunto de ferragens</t>
  </si>
  <si>
    <t xml:space="preserve"> CM0184 </t>
  </si>
  <si>
    <t>Válvula para mictório de fechamento automático, fab. Deca, Linha Decamatic, código 2570 C, acabamento cromado</t>
  </si>
  <si>
    <t xml:space="preserve"> CM0190 </t>
  </si>
  <si>
    <t>Laminado melamínico, acabamento texturizado, cor branca, espessura 1,3mm, referência L190, fab. Fórmica</t>
  </si>
  <si>
    <t xml:space="preserve"> CM0261 </t>
  </si>
  <si>
    <t>Plug macho 2P+T 10A para tomada</t>
  </si>
  <si>
    <t xml:space="preserve"> CM0433 </t>
  </si>
  <si>
    <t>Painel  MPU, pré-isolado de poli-isocianurato, revestido com duas lâminas de alumínio gofrado, (esp. 20mm) – ref. Multivac (inclusive perdas, acessórios de conexão, de vedação e de reforço)</t>
  </si>
  <si>
    <t xml:space="preserve"> CM0597 </t>
  </si>
  <si>
    <t>Barra de apoio curva lateral para lavatório 30cm, em tubo de alumínio e=2mm, Ø31,75mm, tratamento de superfície e pintura epóxi, na cor branca, fab. Leve Vida</t>
  </si>
  <si>
    <t xml:space="preserve"> CM0598 </t>
  </si>
  <si>
    <t>Barra de apoio reta 40cm, em tubo de alumínio e=2mm, Ø31,75mm, tratamento de superfície e pintura epóxi, na cor branca, fab. Leve Vida</t>
  </si>
  <si>
    <t>Anotação de Resposanbilidade Técnica (Faixa 3 - Tabela A - CONFEA)</t>
  </si>
  <si>
    <t>vb</t>
  </si>
  <si>
    <t>Plástico bolha</t>
  </si>
  <si>
    <t xml:space="preserve"> CM0765 </t>
  </si>
  <si>
    <t>Tubo de ligação para vaso sanitário, cromado, código 1968C, fabricação Deca</t>
  </si>
  <si>
    <t xml:space="preserve"> CM0841 </t>
  </si>
  <si>
    <t>Torneira para cozinha de mesa, bica móvel com arejador, cromada, altura total 289 mm, linha Fast, cód. 1167.C59, fab. Deca</t>
  </si>
  <si>
    <t xml:space="preserve"> CM0856 </t>
  </si>
  <si>
    <t>Grelha em alumínio 325 x 525 mm, ref. Grelha de Retorno AGS-T (com contra-moldura), Trox do Brasil</t>
  </si>
  <si>
    <t xml:space="preserve"> CM0880 </t>
  </si>
  <si>
    <t>Tampa hermética em aço inox, DN 150mm, para fechamento de caixa sifonada</t>
  </si>
  <si>
    <t xml:space="preserve"> CM0988 </t>
  </si>
  <si>
    <t>Plaquetas de sinalização em braile em placas de alumínio, escrita em alfabeto braile, identificando o pavimento em que o usuário se encontra, referência: Andaluz</t>
  </si>
  <si>
    <t xml:space="preserve"> CM1048 </t>
  </si>
  <si>
    <t>Lavatório, marca Deca, Modelo Vogue Plus, código L.51.17, cor branco</t>
  </si>
  <si>
    <t xml:space="preserve"> CM1049 </t>
  </si>
  <si>
    <t>Coluna suspensa para lavatório, cor branco, código CS.1.17</t>
  </si>
  <si>
    <t xml:space="preserve"> CM1162 </t>
  </si>
  <si>
    <t>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t>
  </si>
  <si>
    <t xml:space="preserve"> CM1311 </t>
  </si>
  <si>
    <t>Grelha quadrada para ralo 15x15cm, em aço inox AISI 304, ref. 94535103, fab. Tramontina</t>
  </si>
  <si>
    <t xml:space="preserve"> CM1363 </t>
  </si>
  <si>
    <t>Ralo linear em alumínio com grelha, dimensões 46x900mm, com saída central vertical, anodizado fosco, fab. Sekabox / Sekapiso</t>
  </si>
  <si>
    <t xml:space="preserve"> CM1457 </t>
  </si>
  <si>
    <t>Válvula de descarga antivandalismo 1 1/2", 4900.C.DUO.PRO, fabricação Deca</t>
  </si>
  <si>
    <t xml:space="preserve"> CM1533 </t>
  </si>
  <si>
    <t>Assento plástico Vogue Plus AP.50.17 Deca</t>
  </si>
  <si>
    <t xml:space="preserve"> CM1661 </t>
  </si>
  <si>
    <t>Luminária circular de embutir, com difusor translúcido recuado, refletor multifacetado em alumínio anodizado  alto brilho LED EF45-E12000840, cor alumínio - Lumicenter LED Solution</t>
  </si>
  <si>
    <t xml:space="preserve"> CM1662 </t>
  </si>
  <si>
    <t>Campainha de sinalização de emergência com acionador e sinaleira de porta para PCD - GRA branco.</t>
  </si>
  <si>
    <t xml:space="preserve"> CM1663 </t>
  </si>
  <si>
    <t>G1 - Grelha de exaustão, dimensões 225x125mm,  aletas fixas e horizontais, fabricada com perfis de alumínio extrudado, anodizado, na cor natural, incluindo registro de lâminas opostas e dupla deflexão. Modelo de referência: TROX AR/A</t>
  </si>
  <si>
    <t xml:space="preserve"> CM1664 </t>
  </si>
  <si>
    <t>Grelha de exaustão, dimensões 225x225mm, aletas fixas e horizontais, fabricada com perfis de alumínio extrudado, anodizado, na cor natural, incluindo registro de lâminas opostas e dupla deflexão. Modelo de referência: TROX AR/AG</t>
  </si>
  <si>
    <t xml:space="preserve"> CM1667 </t>
  </si>
  <si>
    <t>Duto flexível #250 para ventilação ou exaustão, fabricado em alumínio e poliéster com espiral de arame de aço bronzeado, anticorrosivo e indeformável.  Modelo de referência: Multivac Aludec 60 CO2</t>
  </si>
  <si>
    <t xml:space="preserve"> CM1669 </t>
  </si>
  <si>
    <t>Tampão Esgoto Simples T33 Ferro Fundido 52x42cm</t>
  </si>
  <si>
    <t xml:space="preserve"> CM1672 </t>
  </si>
  <si>
    <t>Bacia sanitária, Linha Studio Kids, cor branco gelo, código PI.16.17, fabricação Deca</t>
  </si>
  <si>
    <t xml:space="preserve"> CM1673 </t>
  </si>
  <si>
    <t>Assento para bacia sanitária infantil, linha Studio Kids PI.166.17, Deca</t>
  </si>
  <si>
    <t xml:space="preserve"> CM1674 </t>
  </si>
  <si>
    <t>Sifão regulável com tubo de saída corrugável 1x1.1/2", VSM 182, fabricação Esteves</t>
  </si>
  <si>
    <t xml:space="preserve"> CM1675 </t>
  </si>
  <si>
    <t>Sifão com tubo extensivo cromado 1x1/2", fabricação Astra</t>
  </si>
  <si>
    <t xml:space="preserve"> CM1677 </t>
  </si>
  <si>
    <t>Trocador de fraldas vertical, retrátil, dimensões: 53x69x10cm, linha Ultra Clean, marca Ampliando Espaço</t>
  </si>
  <si>
    <t xml:space="preserve"> CM1678 </t>
  </si>
  <si>
    <t>Trocador de fraldas horizontal, retrátil, dimensões: 85x55x10cm, linha Clean Horizontal, marca Ampliando Espaço</t>
  </si>
  <si>
    <t xml:space="preserve"> CM1679 </t>
  </si>
  <si>
    <t>Fita antiderrapante, largura 50mm, ref. Safety Walk, linha Conformable fab. 3M</t>
  </si>
  <si>
    <t xml:space="preserve"> CM1681 </t>
  </si>
  <si>
    <t>Porta objetos em laminado melamínico (0,15 x 0,4 cm), cor Polar L190, linha Alcoplac Normatizado, Fab. Neocom</t>
  </si>
  <si>
    <t xml:space="preserve"> CM1682 </t>
  </si>
  <si>
    <t>Cabide para divisória, em inox escovado, linha Alcoplac Normatizado, Fab. Neocom</t>
  </si>
  <si>
    <t xml:space="preserve"> CM1687 </t>
  </si>
  <si>
    <t>Suporte para corrimão, redondo com pino 1/2" P/ tubo 2" - com parafusos e buchas</t>
  </si>
  <si>
    <t>Curva de aço galvanizado 1 1/2"</t>
  </si>
  <si>
    <t xml:space="preserve"> CM1689 </t>
  </si>
  <si>
    <t>Disjunto tripolar caixa moldada 63A 50kA/380V Schneider, inclusive disparador, LV429006+LV429032</t>
  </si>
  <si>
    <t xml:space="preserve"> CM1691 </t>
  </si>
  <si>
    <t>Quadro QT-N-SS - PJDIJ e PJSA</t>
  </si>
  <si>
    <t xml:space="preserve"> CM1810 </t>
  </si>
  <si>
    <t>Acabamento cromado para registro de gaveta ou pressão com mecanismo 1/2 volta, ref. Deca, Linha Flex Plus 4916.C21.PQ</t>
  </si>
  <si>
    <t xml:space="preserve"> CM2013 </t>
  </si>
  <si>
    <t>Porcelanato cinza claro, acab. acetindo 60x60cm, Biancogrês Cemento Grigio</t>
  </si>
  <si>
    <t xml:space="preserve"> CM2014 </t>
  </si>
  <si>
    <t>Porcelanato cinza escuro acab. acetinado 60x60cm, Biancogres Cemento Grafite</t>
  </si>
  <si>
    <t xml:space="preserve"> CM2015 </t>
  </si>
  <si>
    <t>Cerâmica branca 32,5x59cm, assentada com argamassa pré-fabricada, incluindo rejuntamento -  Fab. Eliane Foma Branco acetinado</t>
  </si>
  <si>
    <t xml:space="preserve"> CM2016 </t>
  </si>
  <si>
    <t>Pastilha cerâmica, 5x5, produto telado em 30,65x30,65, fab. Atlas B-2140 Branco</t>
  </si>
  <si>
    <t xml:space="preserve"> CM2017 </t>
  </si>
  <si>
    <t>Acabamento cromado duplo acionamento, antivandalismo, Linha Hidra Duo 1 1/2”, cód. 2545.C.112PRO e 4900.C.DUO.PRO, fab. Deca</t>
  </si>
  <si>
    <t xml:space="preserve"> CM2018 </t>
  </si>
  <si>
    <t>Acabamento de registro de gaveta cromado Deca Linha Flex, 4900.C20.PQ</t>
  </si>
  <si>
    <t xml:space="preserve"> CM2019 </t>
  </si>
  <si>
    <t>Acabamento de registro de gaveta cromado Deca Linha Flex, 4900.C20.GD</t>
  </si>
  <si>
    <t>Planilha de Marcas e Modelos</t>
  </si>
  <si>
    <t>Referência Comercial</t>
  </si>
  <si>
    <t>Produto Ofertado</t>
  </si>
  <si>
    <t>Marca</t>
  </si>
  <si>
    <t>Modelo</t>
  </si>
  <si>
    <t>Viapol</t>
  </si>
  <si>
    <t>Coral</t>
  </si>
  <si>
    <t>*********</t>
  </si>
  <si>
    <t>Argamassa de assentamento</t>
  </si>
  <si>
    <t>********</t>
  </si>
  <si>
    <t>Argamassa de rejuntamento</t>
  </si>
  <si>
    <t>Gesso acartonado</t>
  </si>
  <si>
    <t>Bellinzoni</t>
  </si>
  <si>
    <t>Knauf</t>
  </si>
  <si>
    <t>-</t>
  </si>
  <si>
    <t>Tramontina</t>
  </si>
  <si>
    <t>Prysmian</t>
  </si>
  <si>
    <t>Portokoll</t>
  </si>
  <si>
    <t>Composição de BDI</t>
  </si>
  <si>
    <t>Discriminação</t>
  </si>
  <si>
    <t>%</t>
  </si>
  <si>
    <t>Grupo A</t>
  </si>
  <si>
    <t>% em relação ao custo direto CD</t>
  </si>
  <si>
    <t>Despesas Indiretas</t>
  </si>
  <si>
    <t>a1</t>
  </si>
  <si>
    <t>Administração Central</t>
  </si>
  <si>
    <t>a2</t>
  </si>
  <si>
    <t>Seguro + garantia</t>
  </si>
  <si>
    <t>a3</t>
  </si>
  <si>
    <t>Risco</t>
  </si>
  <si>
    <t>a4</t>
  </si>
  <si>
    <t>Despesa Financeira</t>
  </si>
  <si>
    <t>a5</t>
  </si>
  <si>
    <t>Lucro</t>
  </si>
  <si>
    <t>Grupo B</t>
  </si>
  <si>
    <t>% em relação ao valor total VT</t>
  </si>
  <si>
    <t>Tributos</t>
  </si>
  <si>
    <t>Pis</t>
  </si>
  <si>
    <t>Cofins</t>
  </si>
  <si>
    <t>ISS (2% após desconto das mercadorias aplicadas)</t>
  </si>
  <si>
    <t>BDI</t>
  </si>
  <si>
    <t>BDI = [(((1+(a1+a2+a3))*(1+a4)*(1+a5)))/(1-B1)-1]</t>
  </si>
  <si>
    <t>GRUPO A</t>
  </si>
  <si>
    <t>INSS</t>
  </si>
  <si>
    <t>SESI</t>
  </si>
  <si>
    <t>A3</t>
  </si>
  <si>
    <t>SENAI</t>
  </si>
  <si>
    <t>A4</t>
  </si>
  <si>
    <t>INCRA</t>
  </si>
  <si>
    <t>A5</t>
  </si>
  <si>
    <t>SEBRAE</t>
  </si>
  <si>
    <t>A6</t>
  </si>
  <si>
    <t>Salário-Educação</t>
  </si>
  <si>
    <t>A7</t>
  </si>
  <si>
    <t>Seguro Contra Acidentes Trabalho</t>
  </si>
  <si>
    <t>A8</t>
  </si>
  <si>
    <t>Fundo de Garantia por Tempo de Serviços</t>
  </si>
  <si>
    <t>A9</t>
  </si>
  <si>
    <t>SECONCI</t>
  </si>
  <si>
    <t xml:space="preserve"> Total dos Encargos Sociais Básicos</t>
  </si>
  <si>
    <t>GRUPO B</t>
  </si>
  <si>
    <t>Repouso Semanal Remunerado</t>
  </si>
  <si>
    <t>Feriados</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</si>
  <si>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</si>
  <si>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</si>
  <si>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</si>
  <si>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</si>
  <si>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</si>
  <si>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</si>
  <si>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</si>
  <si>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</si>
  <si>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</si>
  <si>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</si>
  <si>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</si>
  <si>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</si>
  <si>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</si>
  <si>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</si>
  <si>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</si>
  <si>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Total de Encargos Sociais que recebem incidências de A</t>
  </si>
  <si>
    <t>GRUPO C</t>
  </si>
  <si>
    <t>Aviso prévio indenizado</t>
  </si>
  <si>
    <t>Aviso prévio trabalhado</t>
  </si>
  <si>
    <t>Férias indenizadas</t>
  </si>
  <si>
    <t>C4</t>
  </si>
  <si>
    <t>Depósito rescisão sem justa causa</t>
  </si>
  <si>
    <t>C5</t>
  </si>
  <si>
    <t>Indenização adicional</t>
  </si>
  <si>
    <t>GRUPO D</t>
  </si>
  <si>
    <t>Reincidência de A sobre B</t>
  </si>
  <si>
    <t>D2</t>
  </si>
  <si>
    <t>Reincidência do FGTS sobre API e Grupo A sobre APT</t>
  </si>
  <si>
    <t xml:space="preserve">D </t>
  </si>
  <si>
    <t>Total das Taxas incidências e reincidências</t>
  </si>
  <si>
    <t>Total das taxas incidências e reincidências</t>
  </si>
  <si>
    <t>Cronograma Físico e Financeiro</t>
  </si>
  <si>
    <t>Total Por Etapa</t>
  </si>
  <si>
    <t>30 DIAS</t>
  </si>
  <si>
    <t>60 DIAS</t>
  </si>
  <si>
    <t>90 DIAS</t>
  </si>
  <si>
    <t>Porcentagem</t>
  </si>
  <si>
    <t>Custo</t>
  </si>
  <si>
    <t>Valor Mensal</t>
  </si>
  <si>
    <t>Porcentagem Acumulado</t>
  </si>
  <si>
    <t>Custo Acumulado</t>
  </si>
  <si>
    <t>Valor Acumulado</t>
  </si>
  <si>
    <t xml:space="preserve"> 1.1 </t>
  </si>
  <si>
    <t xml:space="preserve"> 1.1.1 </t>
  </si>
  <si>
    <t xml:space="preserve"> MPDFT0009 </t>
  </si>
  <si>
    <t>Registro do contrato junto ao conselho de classe (ART)</t>
  </si>
  <si>
    <t xml:space="preserve"> 2.1 </t>
  </si>
  <si>
    <t>CANTEIRO DE OBRAS</t>
  </si>
  <si>
    <t xml:space="preserve"> 2.1.1 </t>
  </si>
  <si>
    <t>Proteção e Sinalização</t>
  </si>
  <si>
    <t xml:space="preserve"> 2.1.1.1 </t>
  </si>
  <si>
    <t xml:space="preserve"> 2.1.1.2 </t>
  </si>
  <si>
    <t>Copia da ORSE (3642) - Lona plástica preta para camada separadora de lastros ou proteção</t>
  </si>
  <si>
    <t xml:space="preserve"> 2.1.1.4 </t>
  </si>
  <si>
    <t>Copia da SBC (210002) - TRANSPORTE, MONTAGEM, DESMONTAGEM E REMOÇÃO DE CONTEINERS EM OBRAS</t>
  </si>
  <si>
    <t xml:space="preserve"> 2.2 </t>
  </si>
  <si>
    <t>DEMOLIÇÃO</t>
  </si>
  <si>
    <t xml:space="preserve"> 2.2.1 </t>
  </si>
  <si>
    <t>Demolição Convencional</t>
  </si>
  <si>
    <t xml:space="preserve"> 2.2.1.1 </t>
  </si>
  <si>
    <t xml:space="preserve"> 2.2.1.2 </t>
  </si>
  <si>
    <t xml:space="preserve"> 2.2.1.3 </t>
  </si>
  <si>
    <t xml:space="preserve"> 2.2.1.4 </t>
  </si>
  <si>
    <t xml:space="preserve"> 2.2.1.5 </t>
  </si>
  <si>
    <t xml:space="preserve"> 2.2.2 </t>
  </si>
  <si>
    <t>Remoções</t>
  </si>
  <si>
    <t xml:space="preserve"> 2.2.2.1 </t>
  </si>
  <si>
    <t xml:space="preserve"> MPDFT0784 </t>
  </si>
  <si>
    <t>Copia da SINAPI (100717) - Retirada de laminado melamínico e lixamento manual de superfície</t>
  </si>
  <si>
    <t xml:space="preserve"> 2.2.2.2 </t>
  </si>
  <si>
    <t xml:space="preserve"> MPDFT0636 </t>
  </si>
  <si>
    <t>Copia da SINAPI (85412) - REMOCAO DE RODAPE DE MARMORE OU GRANITO</t>
  </si>
  <si>
    <t xml:space="preserve"> 2.2.2.3 </t>
  </si>
  <si>
    <t xml:space="preserve"> 2.2.2.4 </t>
  </si>
  <si>
    <t xml:space="preserve"> 2.2.2.5 </t>
  </si>
  <si>
    <t xml:space="preserve"> MPDFT0888 </t>
  </si>
  <si>
    <t>Cópia da Iopes (010225) - Retirada de peças de granito - bancada, banca, balcão, prateleira</t>
  </si>
  <si>
    <t xml:space="preserve"> 2.2.2.6 </t>
  </si>
  <si>
    <t xml:space="preserve"> 2.2.2.7 </t>
  </si>
  <si>
    <t xml:space="preserve"> 2.2.2.8 </t>
  </si>
  <si>
    <t xml:space="preserve"> MPDFT0903 </t>
  </si>
  <si>
    <t>Copia da SBC (022441) - REMOÇÃO DE DIVISÓRIAS SANITÁRIA DE MADEIRA</t>
  </si>
  <si>
    <t xml:space="preserve"> 2.2.2.9 </t>
  </si>
  <si>
    <t xml:space="preserve"> 2.2.2.10 </t>
  </si>
  <si>
    <t xml:space="preserve"> 2.2.2.11 </t>
  </si>
  <si>
    <t xml:space="preserve"> MPDFT1096 </t>
  </si>
  <si>
    <t>Baseado da SEDOP (091518) - Remoção cuidadosa de Pele de vidro, vidro e semelhantes, incluindo o mapeamento, proteção e estocagem adequada</t>
  </si>
  <si>
    <t xml:space="preserve"> 2.2.2.12 </t>
  </si>
  <si>
    <t xml:space="preserve"> 3.1 </t>
  </si>
  <si>
    <t xml:space="preserve"> 3.1.1 </t>
  </si>
  <si>
    <t>Paredes</t>
  </si>
  <si>
    <t xml:space="preserve"> 3.1.1.1 </t>
  </si>
  <si>
    <t xml:space="preserve"> 3.1.1.2 </t>
  </si>
  <si>
    <t xml:space="preserve"> MPDFT0119 </t>
  </si>
  <si>
    <t>Divisória sanitários e vestiários em laminado estrutural TS (maciço), branco, com e = 10 mm, dupla face decorativa texturizada, modelo Alcoplac Normatizado, fab. Neocom incluindo portas e conjunto de ferragens</t>
  </si>
  <si>
    <t xml:space="preserve"> 3.1.1.3 </t>
  </si>
  <si>
    <t xml:space="preserve"> 3.1.1.4 </t>
  </si>
  <si>
    <t xml:space="preserve"> 3.1.2 </t>
  </si>
  <si>
    <t>Esquadria de madeira</t>
  </si>
  <si>
    <t xml:space="preserve"> 3.1.2.1 </t>
  </si>
  <si>
    <t xml:space="preserve"> MPDFT0891 </t>
  </si>
  <si>
    <t>Porta de madeira (PM), DM 0,90 x 2,10 m, acabamento em laminado melamínico texturizado, inclusive dobradiça, fechadura, barra de apoio e grelha 525x325mm</t>
  </si>
  <si>
    <t xml:space="preserve"> 3.1.2.2 </t>
  </si>
  <si>
    <t xml:space="preserve"> MPDFT0892 </t>
  </si>
  <si>
    <t>Porta de madeira (PM), DM 0,80 x 2,10 m, acabamento em laminado melamínico texturizado, inclusive dobradiça, fechadura e grelha 525x325mm</t>
  </si>
  <si>
    <t xml:space="preserve"> 3.1.2.3 </t>
  </si>
  <si>
    <t xml:space="preserve"> MPDFT0048 </t>
  </si>
  <si>
    <t xml:space="preserve">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t>
  </si>
  <si>
    <t xml:space="preserve">Multivac </t>
  </si>
  <si>
    <t>MPU</t>
  </si>
  <si>
    <t xml:space="preserve">Duto flexível para ventilação ou exaustão, fabricado em alumínio e poliéster com espiral de arame de aço bronzeado, anticorrosivo e indeformável. </t>
  </si>
  <si>
    <t>Multivac</t>
  </si>
  <si>
    <t>Aludec 60 CO2</t>
  </si>
  <si>
    <t>Tubos e conexões em PVC rígido soldável para distribuição de água fria</t>
  </si>
  <si>
    <t>Tigre</t>
  </si>
  <si>
    <t>Tubos e conexões em PVC soldável para esgoto</t>
  </si>
  <si>
    <t>Série Normal</t>
  </si>
  <si>
    <t>Revestimento impermeabilizante, semi-flexível, bicomponente, à base de cimentos especiais, aditivos minerais e polímeros impermeabilizantes. Estanqueidade a pressão negativa: 0,1  Mpa; estanqueidade a pressão positiva: 0,6 Mpa; resistência à aderência no concreto (método de ensaio NBR 13528): mínimo  0,3 Mpa; resistência à aderência em alvenaria (método de ensaio NBR 13528): mínimo  0,3 Mpa.</t>
  </si>
  <si>
    <t>Viaplus 10000</t>
  </si>
  <si>
    <t>Impermeabilizante à base de água e óleo, com proteção contra manchas, para mármore, granito, porcelanato e pedras em geral</t>
  </si>
  <si>
    <t>1 litro – 000061 / 5 litros – 000120</t>
  </si>
  <si>
    <t>Copia da SINAPI (88650) - Rodapé em porcelanato cinza claro acab. acetinado (peça 60x60cm) - corte 15x60, Biancogres Cemento Grigio</t>
  </si>
  <si>
    <t xml:space="preserve"> 3.1.5 </t>
  </si>
  <si>
    <t>Revestimentos de paredes</t>
  </si>
  <si>
    <t xml:space="preserve"> 3.1.5.1 </t>
  </si>
  <si>
    <t xml:space="preserve"> 3.1.5.2 </t>
  </si>
  <si>
    <t xml:space="preserve"> 3.1.5.3 </t>
  </si>
  <si>
    <t xml:space="preserve"> MPDFT1049 </t>
  </si>
  <si>
    <t>Cópia Caern (1100165) - Laminado melamínico, acabamento texturizado, Polar, espessura 1,3mm, referência L190, fab. Fórmica</t>
  </si>
  <si>
    <t xml:space="preserve"> 3.1.5.4 </t>
  </si>
  <si>
    <t xml:space="preserve"> MPDFT1593 </t>
  </si>
  <si>
    <t>Cópia Caern (1100165) - Mão de obra de instalação de laminado melamínico, espessura 1,3mm,  inclusive adesivo</t>
  </si>
  <si>
    <t xml:space="preserve"> 3.1.5.5 </t>
  </si>
  <si>
    <t xml:space="preserve"> MPDFT1606 </t>
  </si>
  <si>
    <t>Cópia SINAPI (87242) - Mão de obra para execução de pastilha de porcelana 5,0x5,0cm, assentada com argamassa pré-fabricada, incluindo rejuntamento</t>
  </si>
  <si>
    <t xml:space="preserve"> 3.1.5.6 </t>
  </si>
  <si>
    <t xml:space="preserve"> MPDFT1607 </t>
  </si>
  <si>
    <t>Copia - Copia da SINAPI (87269) - Cerâmica branca 32,5x59cm, assentada com argamassa pré-fabricada, incluindo rejuntamento Eliane Foma Branco acetinado</t>
  </si>
  <si>
    <t xml:space="preserve"> 3.1.5.7 </t>
  </si>
  <si>
    <t xml:space="preserve"> MPDFT1608 </t>
  </si>
  <si>
    <t>Cópia SINAPI (87242) -  Pastilha cerâmica, 5x5, produto telado em 30,65x30,65, fab. Atlas B-2140 Branco, assentada com argamassa pré-fabricada, incluindo rejuntamento</t>
  </si>
  <si>
    <t xml:space="preserve"> 3.1.5.8 </t>
  </si>
  <si>
    <t xml:space="preserve"> 3.1.5.9 </t>
  </si>
  <si>
    <t xml:space="preserve"> 3.1.6 </t>
  </si>
  <si>
    <t>Revestimentos de forro</t>
  </si>
  <si>
    <t xml:space="preserve"> 3.1.6.1 </t>
  </si>
  <si>
    <t xml:space="preserve"> 3.1.6.2 </t>
  </si>
  <si>
    <t xml:space="preserve"> MPDFT0015 </t>
  </si>
  <si>
    <t>Copia da SINAPI (96121) - Perfil tabica fechada, lisa, formato z, em aço galvanizado natural, largura total na horizontal 40mm, para estrutura forro drywall</t>
  </si>
  <si>
    <t xml:space="preserve"> 3.1.7 </t>
  </si>
  <si>
    <t xml:space="preserve"> 3.1.7.1 </t>
  </si>
  <si>
    <t xml:space="preserve"> 3.1.7.2 </t>
  </si>
  <si>
    <t xml:space="preserve"> 3.1.7.3 </t>
  </si>
  <si>
    <t xml:space="preserve"> 3.1.7.4 </t>
  </si>
  <si>
    <t xml:space="preserve"> 3.1.7.5 </t>
  </si>
  <si>
    <t xml:space="preserve"> 3.1.7.6 </t>
  </si>
  <si>
    <t xml:space="preserve"> 3.1.7.7 </t>
  </si>
  <si>
    <t xml:space="preserve"> MPDFT0022 </t>
  </si>
  <si>
    <t>Copia da SINAPI (84665) - Pintura de sinalização vertical em faixas amarelo e preto</t>
  </si>
  <si>
    <t xml:space="preserve"> 3.1.7.8 </t>
  </si>
  <si>
    <t xml:space="preserve"> 3.1.8 </t>
  </si>
  <si>
    <t>Impermeabilizações</t>
  </si>
  <si>
    <t xml:space="preserve"> 3.1.8.1 </t>
  </si>
  <si>
    <t xml:space="preserve"> 3.1.9 </t>
  </si>
  <si>
    <t>Acabamentos e Arremates</t>
  </si>
  <si>
    <t xml:space="preserve"> 3.1.9.1 </t>
  </si>
  <si>
    <t xml:space="preserve"> MPDFT0905 </t>
  </si>
  <si>
    <t>Copia da SETOP (PIS-FAI-005) - Fita antiderrapante 3M Safety Walk,  linha Conformable.</t>
  </si>
  <si>
    <t xml:space="preserve"> 3.1.9.2 </t>
  </si>
  <si>
    <t xml:space="preserve"> 3.1.9.3 </t>
  </si>
  <si>
    <t xml:space="preserve"> MPDFT1159 </t>
  </si>
  <si>
    <t>Copia da SINAPI (98689) - SOLEIRA EM GRANITO, LARGURA 25 CM, ESPESSURA 2,0 CM.</t>
  </si>
  <si>
    <t xml:space="preserve"> 3.1.10 </t>
  </si>
  <si>
    <t>Equipamentos e Acessórios</t>
  </si>
  <si>
    <t xml:space="preserve"> 3.1.10.1 </t>
  </si>
  <si>
    <t xml:space="preserve"> MPDFT1075 </t>
  </si>
  <si>
    <t>Corrimão duplo de Ø 1.1/2" (38,1mm) em tubo de aço industrial, para pintura esmalte. Fixado em alvenaria ou guarda-corpo</t>
  </si>
  <si>
    <t xml:space="preserve"> 3.1.10.2 </t>
  </si>
  <si>
    <t xml:space="preserve"> MPDFT0918 </t>
  </si>
  <si>
    <t>Complemento de corrimão simples para duplo 1 1/2", de aço galvanizado para pintura, fixado em alvenaria ou guarda corpo</t>
  </si>
  <si>
    <t xml:space="preserve"> 3.1.10.3 </t>
  </si>
  <si>
    <t xml:space="preserve"> MPDFT0607 </t>
  </si>
  <si>
    <t xml:space="preserve"> 3.1.11 </t>
  </si>
  <si>
    <t>Sanitários e Vestiários</t>
  </si>
  <si>
    <t xml:space="preserve"> 3.1.11.1 </t>
  </si>
  <si>
    <t xml:space="preserve"> MPDFT0148 </t>
  </si>
  <si>
    <t>Copia da SINAPI (95470) - Bacia sanitária, cor branco gelo, Linha Monte Carlo cód. P.8.17, fab. Deca - inclusive assento PLÁSTICO</t>
  </si>
  <si>
    <t xml:space="preserve"> 3.1.11.2 </t>
  </si>
  <si>
    <t xml:space="preserve"> MPDFT0895 </t>
  </si>
  <si>
    <t>Copia da SINAPI (95470) - Bacia sanitária, Linha Studio Kids, cor branco gelo, código PI.16.17, fabricação Deca - inclusive assento</t>
  </si>
  <si>
    <t xml:space="preserve"> 3.1.11.3 </t>
  </si>
  <si>
    <t xml:space="preserve"> MPDFT0149 </t>
  </si>
  <si>
    <t>Copia da SINAPI (95471) - Bacia sanitária, Linha Vogue Plus Conforto, cor branco gelo, código P. 510, fabricação Deca - inclusive assento PLÁSTICO</t>
  </si>
  <si>
    <t xml:space="preserve"> 3.1.11.4 </t>
  </si>
  <si>
    <t xml:space="preserve"> MPDFT0259 </t>
  </si>
  <si>
    <t>Copia da SINAPI (99635) - Válvula de descarga com acabamento cromado duplo acionamento, antivandalismo, Linha Hidra Duo 1 1/2”, cód. 2545.C.112PRO e 4900.C.DUO.PRO, fab. Deca - inclusive tubo de ligação</t>
  </si>
  <si>
    <t xml:space="preserve"> 3.1.11.5 </t>
  </si>
  <si>
    <t xml:space="preserve"> MPDFT1609 </t>
  </si>
  <si>
    <t>Copia da SBC(190207) - Acabamento cromado duplo acionamento, antivandalismo, Linha Hidra Duo 1 1/2”, cód. 2545.C.112PRO e 4900.C.DUO.PRO, fab. Deca</t>
  </si>
  <si>
    <t xml:space="preserve"> 3.1.11.6 </t>
  </si>
  <si>
    <t xml:space="preserve"> MPDFT0261 </t>
  </si>
  <si>
    <t>Copia da Sinapi (100858) - Mictório branco com sifão integrado, cód. M 715.17, fab. Deca - completo</t>
  </si>
  <si>
    <t xml:space="preserve"> 3.1.11.7 </t>
  </si>
  <si>
    <t xml:space="preserve"> MPDFT0304 </t>
  </si>
  <si>
    <t>Copia da SINAPI (86904) - Lavatório de semi-encaixe em louça, branco, fixado sobre a bancada. Ref. Linha Monte Carlo L82.17, fab. Deca</t>
  </si>
  <si>
    <t xml:space="preserve"> 3.1.11.8 </t>
  </si>
  <si>
    <t xml:space="preserve"> MPDFT0270 </t>
  </si>
  <si>
    <t>Conjunto de metais para lavatório instalado em bancada de granito, inclusive torneira</t>
  </si>
  <si>
    <t>cj</t>
  </si>
  <si>
    <t xml:space="preserve"> 3.1.11.9 </t>
  </si>
  <si>
    <t xml:space="preserve"> MPDFT0303 </t>
  </si>
  <si>
    <t>Copia da SINAPI (86903) - Lavatório com coluna suspensa (PCD), branco. Linha Vogue Plus, cód.:L51.17 (lavatório) e cód.: CS1.17 (coluna suspensa), fab. Deca</t>
  </si>
  <si>
    <t xml:space="preserve"> 3.1.11.10 </t>
  </si>
  <si>
    <t xml:space="preserve"> MPDFT0260 </t>
  </si>
  <si>
    <t>Conjunto de metais para lavatório com coluna suspensa (PCD), inclusive torneira de mesa com alavanca</t>
  </si>
  <si>
    <t xml:space="preserve"> 3.1.11.11 </t>
  </si>
  <si>
    <t xml:space="preserve"> MPDFT0138 </t>
  </si>
  <si>
    <t>Copia da SINAPI (86914) - Torneira de parede uso geral com arejador, metálica com acabamento cromado, Linha Standard, cód. 1154.C39, fab. Deca</t>
  </si>
  <si>
    <t xml:space="preserve"> 3.1.11.12 </t>
  </si>
  <si>
    <t xml:space="preserve"> 3.1.11.13 </t>
  </si>
  <si>
    <t xml:space="preserve"> 3.1.11.14 </t>
  </si>
  <si>
    <t xml:space="preserve"> MPDFT0276 </t>
  </si>
  <si>
    <t>Copia da SINAPI (100870) - Barra de apoio tubular reta 40cm, Ø31,75mm e=2mm, em alumínio, acabamento com pintura epóxi branca, Linha Acessibilidade, fab. Leve Vida</t>
  </si>
  <si>
    <t xml:space="preserve"> 3.1.11.15 </t>
  </si>
  <si>
    <t xml:space="preserve"> MPDFT0277 </t>
  </si>
  <si>
    <t>Copia da SINAPI (100870) - Barra de apoio tubular curva de 30cm para lavatório, Ø31,75mm e=2mm, em alumínio, acabamento com pintura epóxi branca, Linha Acessibilidade, fab. Leve Vida</t>
  </si>
  <si>
    <t xml:space="preserve"> 3.1.11.16 </t>
  </si>
  <si>
    <t xml:space="preserve"> 3.1.11.17 </t>
  </si>
  <si>
    <t xml:space="preserve"> 3.1.11.18 </t>
  </si>
  <si>
    <t xml:space="preserve"> 3.1.11.19 </t>
  </si>
  <si>
    <t xml:space="preserve"> MPDFT0904 </t>
  </si>
  <si>
    <t>Cópia da CPOS (49.11.140) - Ralo linear em alumínio com grelha, dimensões 46x900mm, com saída central vertical, anodizado fosco, fab. Sekabox / Sekapiso</t>
  </si>
  <si>
    <t xml:space="preserve"> 3.1.11.20 </t>
  </si>
  <si>
    <t xml:space="preserve"> MPDFT0908 </t>
  </si>
  <si>
    <t>Copia da SINAPI (86895) - Bancada para lavatório em granito Branco Itaúnas, largura 0,30m, com saia e rodabanca, inclusive mão francesa</t>
  </si>
  <si>
    <t xml:space="preserve"> 3.1.11.21 </t>
  </si>
  <si>
    <t xml:space="preserve"> MPDFT1610 </t>
  </si>
  <si>
    <t>Copia da SINAPI (86895) - Mão de obra para instalação de bancada para lavatório em granito, largura 0,30m, com saia e rodabanca, inclusive massas</t>
  </si>
  <si>
    <t xml:space="preserve"> 3.1.11.22 </t>
  </si>
  <si>
    <t xml:space="preserve"> MPDFT0272 </t>
  </si>
  <si>
    <t>Copia da SINAPI (86895) - Mão de obra para instalação de prateleira ou banco em granito, L=0,30m, incluindo impermeabilização</t>
  </si>
  <si>
    <t xml:space="preserve"> 3.1.11.23 </t>
  </si>
  <si>
    <t xml:space="preserve"> MPDFT1616 </t>
  </si>
  <si>
    <t>Elemento em granito para bancada - saia ou rodabanca - inclusive impermeabilização e massa</t>
  </si>
  <si>
    <t xml:space="preserve"> 3.1.11.24 </t>
  </si>
  <si>
    <t xml:space="preserve"> 3.1.11.25 </t>
  </si>
  <si>
    <t xml:space="preserve"> MPDFT0900 </t>
  </si>
  <si>
    <t>Copia da SEINFRA (C4642) - Trocador de fraldas horizontal, retrátil, dimensões: 85x55x10cm, linha Clean Horizontal, marca Ampliando o Espaço</t>
  </si>
  <si>
    <t xml:space="preserve"> 3.1.11.26 </t>
  </si>
  <si>
    <t xml:space="preserve"> MPDFT0901 </t>
  </si>
  <si>
    <t>Copia da SEINFRA (C4642) - Trocador de fraldas vertical, retrátil, dimensões: 53x69x10cm, linha Ultra Clean, marca Ampliando Espaço</t>
  </si>
  <si>
    <t xml:space="preserve"> 3.1.11.27 </t>
  </si>
  <si>
    <t xml:space="preserve"> MPDFT0919 </t>
  </si>
  <si>
    <t>Cópia da AGETOP CIVIL (081760) - Grelha quadrada para ralo 10x10cm, em aço inox AISI 304, ref. 94535002, fab. Tramontina</t>
  </si>
  <si>
    <t xml:space="preserve"> 3.1.11.28 </t>
  </si>
  <si>
    <t xml:space="preserve"> MPDFT0920 </t>
  </si>
  <si>
    <t>Cópia da AGETOP CIVIL (081761) - Grelha quadrada para ralo 15x15cm, em aço inox AISI 304, ref. 94535103, fab. Tramontina</t>
  </si>
  <si>
    <t xml:space="preserve"> 3.1.11.29 </t>
  </si>
  <si>
    <t xml:space="preserve"> MPDFT0912 </t>
  </si>
  <si>
    <t>Copia da SBC (190085) - Cabide para divisória, em inox escovado, linha Alcoplac Normatizado, Fab. Neocom</t>
  </si>
  <si>
    <t xml:space="preserve"> 3.1.11.30 </t>
  </si>
  <si>
    <t xml:space="preserve"> MPDFT0911 </t>
  </si>
  <si>
    <t>Copia da ORSE (1777) - Porta objetos em laminado melamínico (0,15 x 0,4 m), cor Polar L190, linha Alcoplac Normatizado, Fab. Neocom</t>
  </si>
  <si>
    <t xml:space="preserve"> 3.1.12 </t>
  </si>
  <si>
    <t>de cozinha, copa e lavanderia</t>
  </si>
  <si>
    <t xml:space="preserve"> 3.1.12.1 </t>
  </si>
  <si>
    <t xml:space="preserve"> MPDFT0263 </t>
  </si>
  <si>
    <t>Copia da SINAPI (86872) - Tanque de louça 40 litros com coluna e acessórios de metal, cor branco gelo GE17, cód. TQ.03 (tanque) e CT25 (coluna), fab. Deca - completo</t>
  </si>
  <si>
    <t xml:space="preserve"> 3.1.12.2 </t>
  </si>
  <si>
    <t xml:space="preserve"> MPDFT0356 </t>
  </si>
  <si>
    <t>Copia da SINAPI (86900) - Cuba de aço inox, DM 34x56x17 cm, linha Prime, mod. Retangular BL, ref. 94024206, fab. Tramontina, inclusive furo e colagem</t>
  </si>
  <si>
    <t xml:space="preserve"> 3.1.12.3 </t>
  </si>
  <si>
    <t xml:space="preserve"> MPDFT0357 </t>
  </si>
  <si>
    <t>Conjunto de metais para pia com cuba inox, inclusive torneira</t>
  </si>
  <si>
    <t xml:space="preserve"> 3.1.12.4 </t>
  </si>
  <si>
    <t xml:space="preserve"> MPDFT0909 </t>
  </si>
  <si>
    <t>Copia da SINAPI (86895) -  Bancada para copa/ refeitório em granito Preto São Gabriel, largura 0,55m, com saia e rodabanca, inclusive mão francesa</t>
  </si>
  <si>
    <t xml:space="preserve"> 4.1 </t>
  </si>
  <si>
    <t xml:space="preserve"> 4.1.1 </t>
  </si>
  <si>
    <t>Rede Elétrica Primária</t>
  </si>
  <si>
    <t xml:space="preserve"> 4.1.1.1 </t>
  </si>
  <si>
    <t xml:space="preserve"> MPDFT0927 </t>
  </si>
  <si>
    <t xml:space="preserve"> 4.1.1.2 </t>
  </si>
  <si>
    <t xml:space="preserve"> 4.1.1.3 </t>
  </si>
  <si>
    <t xml:space="preserve"> 4.1.1.4 </t>
  </si>
  <si>
    <t xml:space="preserve"> 4.1.2 </t>
  </si>
  <si>
    <t>Rede Elétrica Secundária</t>
  </si>
  <si>
    <t xml:space="preserve"> 4.1.2.1 </t>
  </si>
  <si>
    <t xml:space="preserve"> 4.1.2.2 </t>
  </si>
  <si>
    <t xml:space="preserve"> 4.1.2.3 </t>
  </si>
  <si>
    <t xml:space="preserve"> 4.1.2.4 </t>
  </si>
  <si>
    <t xml:space="preserve"> MPDFT0352 </t>
  </si>
  <si>
    <t>Copia da SINAPI (95727) - Eletroduto rígido soldável, PVC cor cinza, dn 25mm (3/4”), aparente, instalado em teto – fornecimento e instalação</t>
  </si>
  <si>
    <t xml:space="preserve"> 4.1.2.5 </t>
  </si>
  <si>
    <t xml:space="preserve"> MPDFT0402 </t>
  </si>
  <si>
    <t>Copia da SINAPI (95728) - Eletroduto rígido soldável, PVC cor cinza, dn 32mm (1”), aparente, instalado em teto – fornecimento e instalação</t>
  </si>
  <si>
    <t xml:space="preserve"> 4.1.2.6 </t>
  </si>
  <si>
    <t xml:space="preserve"> 4.1.2.7 </t>
  </si>
  <si>
    <t xml:space="preserve"> 4.1.2.8 </t>
  </si>
  <si>
    <t xml:space="preserve"> MPDFT0925 </t>
  </si>
  <si>
    <t>Cópia da CPOS (37.25.090) - Disjuntor tripolar caixa moldada 63A 50kA/380V Schneider LV429006+LV429032</t>
  </si>
  <si>
    <t xml:space="preserve"> 4.1.2.9 </t>
  </si>
  <si>
    <t xml:space="preserve"> 4.1.2.10 </t>
  </si>
  <si>
    <t xml:space="preserve"> 4.1.2.11 </t>
  </si>
  <si>
    <t xml:space="preserve"> 4.1.2.12 </t>
  </si>
  <si>
    <t xml:space="preserve"> MPDFT0873 </t>
  </si>
  <si>
    <t xml:space="preserve"> 4.1.2.13 </t>
  </si>
  <si>
    <t xml:space="preserve"> MPDFT0874 </t>
  </si>
  <si>
    <t>Cópia da SBC (062048) - Campainha de sinalização de emergência com acionador e sinaleira de porta para PCD - GRA branco.</t>
  </si>
  <si>
    <t xml:space="preserve"> 4.1.2.14 </t>
  </si>
  <si>
    <t xml:space="preserve"> MPDFT0362 </t>
  </si>
  <si>
    <t>Ponto de tomada simples (PTS) média</t>
  </si>
  <si>
    <t xml:space="preserve"> 4.1.2.15 </t>
  </si>
  <si>
    <t xml:space="preserve"> MPDFT0366 </t>
  </si>
  <si>
    <t>Ponto de tomada de potência (PTP) alta</t>
  </si>
  <si>
    <t xml:space="preserve"> 4.1.2.16 </t>
  </si>
  <si>
    <t xml:space="preserve"> MPDFT0915 </t>
  </si>
  <si>
    <t>Ponto de tomada dupla média</t>
  </si>
  <si>
    <t xml:space="preserve"> 5.1 </t>
  </si>
  <si>
    <t>ÁGUA FRIA</t>
  </si>
  <si>
    <t xml:space="preserve"> 5.1.1 </t>
  </si>
  <si>
    <t>Tubulações e Conexões de PVC Rígido</t>
  </si>
  <si>
    <t xml:space="preserve"> 5.1.1.1 </t>
  </si>
  <si>
    <t xml:space="preserve"> MPDFT0513 </t>
  </si>
  <si>
    <t>Cópia da Sinapi (91788) - (Composição representativa) do serviço de instalação de tubos de PVC, soldável, água fria, DN 60mm (instalado em prumada), inclusive conexões, cortes e fixações, para prédios.</t>
  </si>
  <si>
    <t xml:space="preserve"> 5.1.1.2 </t>
  </si>
  <si>
    <t xml:space="preserve"> 5.1.1.3 </t>
  </si>
  <si>
    <t xml:space="preserve"> 5.1.2 </t>
  </si>
  <si>
    <t>Metais e Acessórios Sanitários</t>
  </si>
  <si>
    <t xml:space="preserve"> 5.1.2.1 </t>
  </si>
  <si>
    <t xml:space="preserve"> 5.1.2.2 </t>
  </si>
  <si>
    <t xml:space="preserve"> MPDFT0887 </t>
  </si>
  <si>
    <t>Copia da SINAPI (89987) - REGISTRO DE GAVETA BRUTO, LATÃO, ROSCÁVEL, 1", COM ACABAMENTO E CANOPLA CROMADOS. FORNECIDO E INSTALADO EM RAMAL DE ÁGUA.</t>
  </si>
  <si>
    <t xml:space="preserve"> 5.1.2.3 </t>
  </si>
  <si>
    <t xml:space="preserve"> 5.1.2.4 </t>
  </si>
  <si>
    <t xml:space="preserve"> 5.1.2.5 </t>
  </si>
  <si>
    <t xml:space="preserve"> MPDFT1614 </t>
  </si>
  <si>
    <t>Cópia da Cpos (44.20.150) - Acabamento de metal cromado para registro grande, Deca Linha Flex 4900.C20.GD</t>
  </si>
  <si>
    <t xml:space="preserve"> 5.1.2.6 </t>
  </si>
  <si>
    <t xml:space="preserve"> MPDFT1615 </t>
  </si>
  <si>
    <t>Cópia da Cpos (44.20.150) - Acabamento de metal cromado para registro pequeno, de parede, Deca Linha Flex Plus, 4916.C21.PQ (PcD)</t>
  </si>
  <si>
    <t xml:space="preserve"> 5.1.2.7 </t>
  </si>
  <si>
    <t xml:space="preserve"> MPDFT1613 </t>
  </si>
  <si>
    <t>Cópia da Cpos (44.20.150) - Acabamento de metal cromado para registro pequeno, de parede, Deca Linha Flex, 4900.C20.PQ</t>
  </si>
  <si>
    <t xml:space="preserve"> 5.2 </t>
  </si>
  <si>
    <t>ESGOTOS SANITÁRIOS</t>
  </si>
  <si>
    <t xml:space="preserve"> 5.2.1 </t>
  </si>
  <si>
    <t>Tubulações e Conexões de PVC</t>
  </si>
  <si>
    <t xml:space="preserve"> 5.2.1.1 </t>
  </si>
  <si>
    <t xml:space="preserve"> 5.2.1.2 </t>
  </si>
  <si>
    <t xml:space="preserve"> 5.2.1.3 </t>
  </si>
  <si>
    <t xml:space="preserve"> 5.2.1.4 </t>
  </si>
  <si>
    <t xml:space="preserve"> 5.2.2 </t>
  </si>
  <si>
    <t>Acessórios</t>
  </si>
  <si>
    <t xml:space="preserve"> 5.2.2.1 </t>
  </si>
  <si>
    <t xml:space="preserve"> MPDFT0238 </t>
  </si>
  <si>
    <t>Copia da SINAPI (89708) - Caixa sifonada, PVC, DN 150x185x75mm, incluindo tampa hermética em aço inox - fornecimento e instalação</t>
  </si>
  <si>
    <t xml:space="preserve"> 5.2.2.2 </t>
  </si>
  <si>
    <t xml:space="preserve"> 5.2.2.3 </t>
  </si>
  <si>
    <t xml:space="preserve"> 5.2.2.4 </t>
  </si>
  <si>
    <t xml:space="preserve"> MPDFT0878 </t>
  </si>
  <si>
    <t>Caixa de inspeção em alvenaria 60x60 com tampa em ferro fundido T33, fundo e laje em concreto.</t>
  </si>
  <si>
    <t xml:space="preserve"> 5.3 </t>
  </si>
  <si>
    <t>DRENAGEM DE ÁGUAS PLUVIAIS</t>
  </si>
  <si>
    <t xml:space="preserve"> 5.3.1 </t>
  </si>
  <si>
    <t xml:space="preserve"> 5.3.1.1 </t>
  </si>
  <si>
    <t xml:space="preserve"> MPDFT0924 </t>
  </si>
  <si>
    <t>Copia da SINAPI (91788) - (Composição representativa) do serviço de instalação de tubos de PVC, soldável, água fria, DN 75 mm (instalado em prumada), inclusive conexões, cortes e fixações, para prédios</t>
  </si>
  <si>
    <t xml:space="preserve"> 5.3.1.2 </t>
  </si>
  <si>
    <t xml:space="preserve"> 5.3.1.3 </t>
  </si>
  <si>
    <t xml:space="preserve"> 5.3.1.4 </t>
  </si>
  <si>
    <t xml:space="preserve"> 5.3.1.5 </t>
  </si>
  <si>
    <t xml:space="preserve"> 5.3.1.6 </t>
  </si>
  <si>
    <t xml:space="preserve"> 5.3.1.7 </t>
  </si>
  <si>
    <t xml:space="preserve"> 5.4 </t>
  </si>
  <si>
    <t xml:space="preserve"> 5.4.1 </t>
  </si>
  <si>
    <t>Serviços diversos</t>
  </si>
  <si>
    <t xml:space="preserve"> 5.4.1.1 </t>
  </si>
  <si>
    <t xml:space="preserve"> 5.4.1.2 </t>
  </si>
  <si>
    <t xml:space="preserve"> 5.4.1.3 </t>
  </si>
  <si>
    <t xml:space="preserve"> 5.4.1.4 </t>
  </si>
  <si>
    <t xml:space="preserve"> 5.4.1.5 </t>
  </si>
  <si>
    <t xml:space="preserve"> 5.4.1.6 </t>
  </si>
  <si>
    <t xml:space="preserve"> 7.1 </t>
  </si>
  <si>
    <t>Ar Condicionado Central</t>
  </si>
  <si>
    <t xml:space="preserve"> 7.1.1 </t>
  </si>
  <si>
    <t>Redes de Dutos</t>
  </si>
  <si>
    <t xml:space="preserve"> 7.1.1.1 </t>
  </si>
  <si>
    <t xml:space="preserve"> MPDFT0879 </t>
  </si>
  <si>
    <t>Cópia da CPOS (61.10.574) - G2 - Grelha de exaustão, dimensões 225x225mm,  aletas fixas e horizontais, fabricada com perfis de alumínio extrudado, anodizado, na cor natural, incluindo registro de lâminas opostas e dupla deflexão. Modelo de referência: TROX AR/AG</t>
  </si>
  <si>
    <t xml:space="preserve"> 7.1.1.2 </t>
  </si>
  <si>
    <t xml:space="preserve"> MPDFT0881 </t>
  </si>
  <si>
    <t>Cópia da SBC (073893) - G3 - Grelha de exaustão de plástico para duto flexível diâmetro 100mm, com lâminas inclinadas. Modelo de referência: Soler&amp;Palau OTAM GR-100 ou similar equivalente.</t>
  </si>
  <si>
    <t xml:space="preserve"> 7.1.1.3 </t>
  </si>
  <si>
    <t xml:space="preserve"> MPDFT0060 </t>
  </si>
  <si>
    <t>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t>
  </si>
  <si>
    <t xml:space="preserve"> 7.1.1.4 </t>
  </si>
  <si>
    <t xml:space="preserve"> MPDFT0885 </t>
  </si>
  <si>
    <t>Cópia da SBC (070473) - Duto flexível #250 para ventilação ou exaustão, fabricado em alumínio e poliéster com espiral de arame de aço bronzeado, anticorrosivo e indeformável.  Modelo de referência: Multivac Aludec 60 CO2</t>
  </si>
  <si>
    <t xml:space="preserve"> 7.1.1.5 </t>
  </si>
  <si>
    <t xml:space="preserve"> MPDFT0880 </t>
  </si>
  <si>
    <t>Cópia da CPOS (61.10.574) - G1 - Grelha de exaustão, dimensões 225x125mm,  aletas fixas e horizontais, fabricada com perfis de alumínio extrudado, anodizado, na cor natural, incluindo registro de lâminas opostas e dupla deflexão. Modelo de referência: TROX AR/AG</t>
  </si>
  <si>
    <t xml:space="preserve"> 7.1.1.6 </t>
  </si>
  <si>
    <t xml:space="preserve"> MPDFT0286 </t>
  </si>
  <si>
    <t>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 ou similar equivalente.</t>
  </si>
  <si>
    <t xml:space="preserve"> 8.1 </t>
  </si>
  <si>
    <t>PREVENÇÃO E COMBATE A INCÊNDIO</t>
  </si>
  <si>
    <t xml:space="preserve"> 8.1.1 </t>
  </si>
  <si>
    <t>Sinalização de rota e fuga</t>
  </si>
  <si>
    <t xml:space="preserve"> 8.1.1.1 </t>
  </si>
  <si>
    <t xml:space="preserve"> MPDFT0462 </t>
  </si>
  <si>
    <t>19a - Placa de Identificação de Pavimento (PIP), 150x150mm, fixada nas superfícies por meio de fita dupla-face, fundo em chapa de acrílico opaca, espessura 3mm, acabamento pintura esmalte automotivo sobre  primer surfacer, referência cromática Verde C60, M0, Y40, K30, símbolo em vinil fotoluminescente, texto em Braile em alto relevo 1mm de PVC conforme NBR 9050.</t>
  </si>
  <si>
    <t xml:space="preserve"> 9.1 </t>
  </si>
  <si>
    <t>Limpeza de obra</t>
  </si>
  <si>
    <t xml:space="preserve"> 9.1.1 </t>
  </si>
  <si>
    <t xml:space="preserve"> MPDFT0825 </t>
  </si>
  <si>
    <t>Transporte de material – bota-fora, D.M.T = 80,0 km</t>
  </si>
  <si>
    <t xml:space="preserve"> 9.1.2 </t>
  </si>
  <si>
    <t xml:space="preserve"> 9.1.3 </t>
  </si>
  <si>
    <t xml:space="preserve"> 9.1.4 </t>
  </si>
  <si>
    <t xml:space="preserve"> 9.1.5 </t>
  </si>
  <si>
    <t xml:space="preserve"> 9.1.6 </t>
  </si>
  <si>
    <t xml:space="preserve"> 9.1.7 </t>
  </si>
  <si>
    <t xml:space="preserve"> 9.1.8 </t>
  </si>
  <si>
    <t xml:space="preserve"> 9.1.9 </t>
  </si>
  <si>
    <t xml:space="preserve"> 10.1 </t>
  </si>
  <si>
    <t>Pessoal</t>
  </si>
  <si>
    <t xml:space="preserve"> 10.1.1 </t>
  </si>
  <si>
    <t xml:space="preserve"> 10.1.2 </t>
  </si>
  <si>
    <t>CARPINTEIRO DE FORMAS COM ENCARGOS COMPLEMENTARES</t>
  </si>
  <si>
    <t>AJUDANTE DE CARPINTEIRO COM ENCARGOS COMPLEMENTARES</t>
  </si>
  <si>
    <t>SERVENTE COM ENCARGOS COMPLEMENTARES</t>
  </si>
  <si>
    <t>LONA PLASTICA PRETA, E= 150 MICRA</t>
  </si>
  <si>
    <t xml:space="preserve"> 91634 </t>
  </si>
  <si>
    <t>GUINDAUTO HIDRÁULICO, CAPACIDADE MÁXIMA DE CARGA 6500 KG, MOMENTO MÁXIMO DE CARGA 5,8 TM, ALCANCE MÁXIMO HORIZONTAL 7,60 M, INCLUSIVE CAMINHÃO TOCO PBT 9.700 KG, POTÊNCIA DE 160 CV - CHP DIURNO. AF_08/2015</t>
  </si>
  <si>
    <t>CHP</t>
  </si>
  <si>
    <t>AZULEJISTA OU LADRILHISTA COM ENCARGOS COMPLEMENTARES</t>
  </si>
  <si>
    <t>MARTELETE OU ROMPEDOR PNEUMÁTICO MANUAL, 28 KG, COM SILENCIADOR - CHP DIURNO. AF_07/2016</t>
  </si>
  <si>
    <t>MARTELETE OU ROMPEDOR PNEUMÁTICO MANUAL, 28 KG, COM SILENCIADOR - CHI DIURNO. AF_07/2016</t>
  </si>
  <si>
    <t>CHI</t>
  </si>
  <si>
    <t>COMPRESSOR DE AR REBOCAVEL, VAZÃO 250 PCM, PRESSAO DE TRABALHO 102 PSI, MOTOR A DIESEL POTÊNCIA 81 CV - CHI DIURNO. AF_06/2015</t>
  </si>
  <si>
    <t>COMPRESSOR DE AR REBOCAVEL, VAZÃO 250 PCM, PRESSAO DE TRABALHO 102 PSI, MOTOR A DIESEL POTÊNCIA 81 CV - CHP DIURNO. AF_06/2015</t>
  </si>
  <si>
    <t>PEDREIRO COM ENCARGOS COMPLEMENTARES</t>
  </si>
  <si>
    <t>ENCANADOR OU BOMBEIRO HIDRÁULICO COM ENCARGOS COMPLEMENTARES</t>
  </si>
  <si>
    <t>AUXILIAR DE ENCANADOR OU BOMBEIRO HIDRÁULICO COM ENCARGOS COMPLEMENTARES</t>
  </si>
  <si>
    <t>PINTOR COM ENCARGOS COMPLEMENTARES</t>
  </si>
  <si>
    <t xml:space="preserve"> 00003768 </t>
  </si>
  <si>
    <t>LIXA EM FOLHA PARA FERRO, NUMERO 150</t>
  </si>
  <si>
    <t>ELETRICISTA COM ENCARGOS COMPLEMENTARES</t>
  </si>
  <si>
    <t>AJUDANTE ESPECIALIZADO COM ENCARGOS COMPLEMENTARES</t>
  </si>
  <si>
    <t>MONTADOR DE ESTRUTURA METÁLICA COM ENCARGOS COMPLEMENTARES</t>
  </si>
  <si>
    <t>CENTO</t>
  </si>
  <si>
    <t xml:space="preserve"> 88261 </t>
  </si>
  <si>
    <t>CARPINTEIRO DE ESQUADRIA COM ENCARGOS COMPLEMENTARES</t>
  </si>
  <si>
    <t xml:space="preserve"> 91012 </t>
  </si>
  <si>
    <t>PORTA DE MADEIRA PARA VERNIZ, SEMI-OCA (LEVE OU MÉDIA), 90X210CM, ESPESSURA DE 3,5CM, INCLUSO DOBRADIÇAS - FORNECIMENTO E INSTALAÇÃO. AF_12/2019</t>
  </si>
  <si>
    <t xml:space="preserve"> 88273 </t>
  </si>
  <si>
    <t>MARCENEIRO COM ENCARGOS COMPLEMENTARES</t>
  </si>
  <si>
    <t xml:space="preserve"> 00038152 </t>
  </si>
  <si>
    <t>FECHADURA DE EMBUTIR PARA PORTA EXTERNA, MAQUINA 55 MM, COM CILINDRO, MACANETA ALAVANCA E ROSETA REDONDA EM METAL CROMADO - NIVEL DE SEGURANCA MEDIO - COMPLETA</t>
  </si>
  <si>
    <t>CJ</t>
  </si>
  <si>
    <t xml:space="preserve"> 00001339 </t>
  </si>
  <si>
    <t>COLA A BASE DE RESINA SINTETICA PARA CHAPA DE LAMINADO MELAMINICO</t>
  </si>
  <si>
    <t xml:space="preserve"> 91011 </t>
  </si>
  <si>
    <t>PORTA DE MADEIRA PARA VERNIZ, SEMI-OCA (LEVE OU MÉDIA), 80X210CM, ESPESSURA DE 3,5CM, INCLUSO DOBRADIÇAS - FORNECIMENTO E INSTALAÇÃO. AF_12/2019</t>
  </si>
  <si>
    <t xml:space="preserve"> 100757 </t>
  </si>
  <si>
    <t>PINTURA COM TINTA ALQUÍDICA DE ACABAMENTO (ESMALTE SINTÉTICO ACETINADO) PULVERIZADA SOBRE SUPERFÍCIES METÁLICAS (EXCETO PERFIL) EXECUTADO EM OBRA (02 DEMÃOS). AF_01/2020</t>
  </si>
  <si>
    <t xml:space="preserve"> 100721 </t>
  </si>
  <si>
    <t>PINTURA COM TINTA ALQUÍDICA DE FUNDO (TIPO ZARCÃO) PULVERIZADA SOBRE SUPERFÍCIES METÁLICAS (EXCETO PERFIL) EXECUTADO EM OBRA (POR DEMÃO). AF_01/2020</t>
  </si>
  <si>
    <t>AUXILIAR DE SERRALHEIRO COM ENCARGOS COMPLEMENTARES</t>
  </si>
  <si>
    <t xml:space="preserve"> 00001322 </t>
  </si>
  <si>
    <t>CHAPA DE ACO FINA A QUENTE BITOLA MSG 16, E = 1,50 MM (12,00 KG/M2)</t>
  </si>
  <si>
    <t xml:space="preserve"> 00038124 </t>
  </si>
  <si>
    <t>ESPUMA EXPANSIVA DE POLIURETANO, APLICACAO MANUAL - 500 ML</t>
  </si>
  <si>
    <t>VIDRACEIRO COM ENCARGOS COMPLEMENTARES</t>
  </si>
  <si>
    <t xml:space="preserve"> 00011186 </t>
  </si>
  <si>
    <t>ESPELHO CRISTAL E = 4 MM</t>
  </si>
  <si>
    <t xml:space="preserve"> 00000442 </t>
  </si>
  <si>
    <t>PARAFUSO FRANCES M16 EM ACO GALVANIZADO, COMPRIMENTO = 45 MM, DIAMETRO = 16 MM, CABECA ABAULADA</t>
  </si>
  <si>
    <t>ARGAMASSA TRAÇO 1:3 (EM VOLUME DE CIMENTO E AREIA MÉDIA ÚMIDA) PARA CONTRAPISO, PREPARO MECÂNICO COM BETONEIRA 400 L. AF_08/2019</t>
  </si>
  <si>
    <t xml:space="preserve"> 96620 </t>
  </si>
  <si>
    <t>LASTRO DE CONCRETO MAGRO, APLICADO EM PISOS OU RADIERS. AF_08/2017</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</si>
  <si>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</si>
  <si>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</si>
  <si>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</si>
  <si>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</si>
  <si>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88245 </t>
  </si>
  <si>
    <t>ARMADOR COM ENCARGOS COMPLEMENTARES</t>
  </si>
  <si>
    <t>EXECUÇÃO DE JUNTAS DE CONTRAÇÃO PARA PAVIMENTOS DE CONCRETO. AF_11/2017</t>
  </si>
  <si>
    <t xml:space="preserve"> 97115 </t>
  </si>
  <si>
    <t>APLICAÇÃO DE GRAXA EM BARRAS DE TRANSFERÊNCIA PARA EXECUÇÃO DE PAVIMENTO DE CONCRETO. AF_11/2017</t>
  </si>
  <si>
    <t xml:space="preserve"> 00007156 </t>
  </si>
  <si>
    <t>TELA DE ACO SOLDADA NERVURADA, CA-60, Q-196, (3,11 KG/M2), DIAMETRO DO FIO = 5,0 MM, LARGURA = 2,45 M, ESPACAMENTO DA MALHA = 10 X 10 CM</t>
  </si>
  <si>
    <t xml:space="preserve"> 00001527 </t>
  </si>
  <si>
    <t>CONCRETO USINADO BOMBEAVEL, CLASSE DE RESISTENCIA C25, COM BRITA 0 E 1, SLUMP = 100 +/- 20 MM, INCLUI SERVICO DE BOMBEAMENTO (NBR 8953)</t>
  </si>
  <si>
    <t xml:space="preserve"> 00042402 </t>
  </si>
  <si>
    <t>ACO CA-25, 16,0 MM, BARRA DE TRANSFERENCIA</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</si>
  <si>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</si>
  <si>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</si>
  <si>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 xml:space="preserve"> 00034357 </t>
  </si>
  <si>
    <t>REJUNTE CIMENTICIO, QUALQUER COR</t>
  </si>
  <si>
    <t xml:space="preserve"> 00037595 </t>
  </si>
  <si>
    <t>ARGAMASSA COLANTE TIPO AC III</t>
  </si>
  <si>
    <t xml:space="preserve"> 00004791 </t>
  </si>
  <si>
    <t>ADESIVO ACRILICO/COLA DE CONTATO</t>
  </si>
  <si>
    <t xml:space="preserve"> 00000536 </t>
  </si>
  <si>
    <t>REVESTIMENTO EM CERAMICA ESMALTADA EXTRA, PEI MENOR OU IGUAL A 3, FORMATO MENOR OU IGUAL A 2025 CM2</t>
  </si>
  <si>
    <t xml:space="preserve"> 00001381 </t>
  </si>
  <si>
    <t>ARGAMASSA COLANTE AC I PARA CERAMICAS</t>
  </si>
  <si>
    <t xml:space="preserve"> 00039443 </t>
  </si>
  <si>
    <t>PARAFUSO DRY WALL, EM ACO ZINCADO, CABECA LENTILHA E PONTA BROCA (LB), LARGURA 4,2 MM, COMPRIMENTO 13 MM</t>
  </si>
  <si>
    <t xml:space="preserve"> 00040552 </t>
  </si>
  <si>
    <t>PARAFUSO, AUTO ATARRACHANTE, CABECA CHATA, FENDA SIMPLES, 1/4 (6,35 MM) X 25 MM</t>
  </si>
  <si>
    <t xml:space="preserve"> 00039428 </t>
  </si>
  <si>
    <t>PERFIL TABICA FECHADA, LISA, FORMATO Z, EM ACO GALVANIZADO NATURAL, LARGURA TOTAL NA HORIZONTAL *40* MM, PARA ESTRUTURA FORRO DRYWALL</t>
  </si>
  <si>
    <t>TINTA A BASE DE RESINA ACRILICA, PARA SINALIZACAO HORIZONTAL VIARIA (NBR 11862)</t>
  </si>
  <si>
    <t>IMPERMEABILIZADOR COM ENCARGOS COMPLEMENTARES</t>
  </si>
  <si>
    <t>MARMORISTA/GRANITEIRO COM ENCARGOS COMPLEMENTARES</t>
  </si>
  <si>
    <t xml:space="preserve"> 00020232 </t>
  </si>
  <si>
    <t>SOLEIRA EM GRANITO, POLIDO, TIPO ANDORINHA/ QUARTZ/ CASTELO/ CORUMBA OU OUTROS EQUIVALENTES DA REGIAO, L= *15* CM, E=  *2,0* CM</t>
  </si>
  <si>
    <t>SERRALHEIRO COM ENCARGOS COMPLEMENTARES</t>
  </si>
  <si>
    <t xml:space="preserve"> 00006138 </t>
  </si>
  <si>
    <t>VEDACAO PVC, 100 MM, PARA SAIDA VASO SANITARIO</t>
  </si>
  <si>
    <t xml:space="preserve"> 00004384 </t>
  </si>
  <si>
    <t>PARAFUSO NIQUELADO COM ACABAMENTO CROMADO PARA FIXAR PECA SANITARIA, INCLUI PORCA CEGA, ARRUELA E BUCHA DE NYLON TAMANHO S-10</t>
  </si>
  <si>
    <t xml:space="preserve"> 00037329 </t>
  </si>
  <si>
    <t>REJUNTE EPOXI, QUALQUER COR</t>
  </si>
  <si>
    <t xml:space="preserve"> 00011686 </t>
  </si>
  <si>
    <t>CONJUNTO DE LIGACAO PARA BACIA SANITARIA EM PLASTICO BRANCO COM TUBO, CANOPLA E ANEL DE EXPANSAO (TUBO 1.1/2 '' X 20 CM)</t>
  </si>
  <si>
    <t xml:space="preserve"> 00003148 </t>
  </si>
  <si>
    <t>FITA VEDA ROSCA EM ROLOS DE 18 MM X 50 M (L X C)</t>
  </si>
  <si>
    <t xml:space="preserve"> 00012613 </t>
  </si>
  <si>
    <t>TUBO DE DESCARGA, TIPO BENGALA, PARA LIGACAO CAIXA DE DESCARGA - EMBUTIR, PVC, 40 MM X 150 CM</t>
  </si>
  <si>
    <t xml:space="preserve"> 00003146 </t>
  </si>
  <si>
    <t>FITA VEDA ROSCA EM ROLOS DE 18 MM X 10 M (L X C)</t>
  </si>
  <si>
    <t xml:space="preserve"> 00010432 </t>
  </si>
  <si>
    <t>MICTORIO SIFONADO LOUCA BRANCA SEM COMPLEMENTOS</t>
  </si>
  <si>
    <t xml:space="preserve"> 00004351 </t>
  </si>
  <si>
    <t>PARAFUSO NIQUELADO 3 1/2" COM ACABAMENTO CROMADO PARA FIXAR PECA SANITARIA, INCLUI PORCA CEGA, ARRUELA E BUCHA DE NYLON TAMANHO S-8</t>
  </si>
  <si>
    <t xml:space="preserve"> 00011684 </t>
  </si>
  <si>
    <t>ENGATE / RABICHO FLEXIVEL INOX 1/2 " X 40 CM</t>
  </si>
  <si>
    <t xml:space="preserve"> 00004823 </t>
  </si>
  <si>
    <t>MASSA PLASTICA PARA MARMORE/GRANITO</t>
  </si>
  <si>
    <t xml:space="preserve"> 00011795 </t>
  </si>
  <si>
    <t>GRANITO PARA BANCADA, POLIDO, TIPO ANDORINHA/ QUARTZ/ CASTELO/ CORUMBA OU OUTROS EQUIVALENTES DA REGIAO, E=  *2,5* CM</t>
  </si>
  <si>
    <t xml:space="preserve"> 00037590 </t>
  </si>
  <si>
    <t>SUPORTE MAO-FRANCESA EM ACO, ABAS IGUAIS 30 CM, CAPACIDADE MINIMA 60 KG, BRANCO</t>
  </si>
  <si>
    <t xml:space="preserve"> 00020262 </t>
  </si>
  <si>
    <t>SIFAO PLASTICO EXTENSIVEL UNIVERSAL, TIPO COPO</t>
  </si>
  <si>
    <t xml:space="preserve"> 00038605 </t>
  </si>
  <si>
    <t>ABERTURA PARA ENCAIXE DE CUBA OU LAVATORIO EM BANCADA DE MARMORE/ GRANITO OU OUTRO TIPO DE PEDRA NATURAL</t>
  </si>
  <si>
    <t xml:space="preserve"> 00038633 </t>
  </si>
  <si>
    <t>FURO PARA TORNEIRA OU OUTROS ACESSORIOS  EM BANCADA DE MARMORE/ GRANITO OU OUTRO TIPO DE PEDRA NATURAL</t>
  </si>
  <si>
    <t xml:space="preserve"> 00006157 </t>
  </si>
  <si>
    <t>VALVULA EM METAL CROMADO PARA PIA AMERICANA 3.1/2 X 1.1/2 "</t>
  </si>
  <si>
    <t xml:space="preserve"> 00037591 </t>
  </si>
  <si>
    <t>SUPORTE MAO-FRANCESA EM ACO, ABAS IGUAIS 40 CM, CAPACIDADE MINIMA 70 KG, BRANCO</t>
  </si>
  <si>
    <t>AUXILIAR DE ELETRICISTA COM ENCARGOS COMPLEMENTARES</t>
  </si>
  <si>
    <t>FIXAÇÃO DE TUBOS HORIZONTAIS DE PVC, CPVC OU COBRE DIÂMETROS MENORES OU IGUAIS A 40 MM OU ELETROCALHAS ATÉ 150MM DE LARGURA, COM ABRAÇADEIRA METÁLICA RÍGIDA TIPO D 1/2, FIXADA EM PERFILADO EM LAJE. AF_05/2015</t>
  </si>
  <si>
    <t xml:space="preserve"> 00039253 </t>
  </si>
  <si>
    <t>ELETRODUTO/CONDULETE DE PVC RIGIDO, LISO, COR CINZA, DE 3/4", PARA INSTALACOES APARENTES (NBR 5410)</t>
  </si>
  <si>
    <t xml:space="preserve"> 00039255 </t>
  </si>
  <si>
    <t>ELETRODUTO/CONDULETE DE PVC RIGIDO, LISO, COR CINZA, DE 1", PARA INSTALACOES APARENTES (NBR 5410)</t>
  </si>
  <si>
    <t xml:space="preserve"> 100307 </t>
  </si>
  <si>
    <t>MONTADOR DE ELETROELETRÔNICOS COM ENCARGOS COMPLEMENTARES</t>
  </si>
  <si>
    <t xml:space="preserve"> 95807 </t>
  </si>
  <si>
    <t>CONDULETE DE PVC, TIPO LL, PARA ELETRODUTO DE PVC SOLDÁVEL DN 20 MM (1/2''), APARENTE - FORNECIMENTO E INSTALAÇÃO. AF_11/2016</t>
  </si>
  <si>
    <t xml:space="preserve"> 91992 </t>
  </si>
  <si>
    <t>TOMADA ALTA DE EMBUTIR (1 MÓDULO), 2P+T 10 A, INCLUINDO SUPORTE E PLACA - FORNECIMENTO E INSTALAÇÃO. AF_12/2015</t>
  </si>
  <si>
    <t xml:space="preserve"> 00034618 </t>
  </si>
  <si>
    <t>CABO FLEXIVEL PVC 750 V, 3 CONDUTORES DE 1,5 MM2</t>
  </si>
  <si>
    <t xml:space="preserve"> 91996 </t>
  </si>
  <si>
    <t>TOMADA MÉDIA DE EMBUTIR (1 MÓDULO), 2P+T 10 A, INCLUINDO SUPORTE E PLACA - FORNECIMENTO E INSTALAÇÃO. AF_12/2015</t>
  </si>
  <si>
    <t xml:space="preserve"> 91993 </t>
  </si>
  <si>
    <t>TOMADA ALTA DE EMBUTIR (1 MÓDULO), 2P+T 20 A, INCLUINDO SUPORTE E PLACA - FORNECIMENTO E INSTALAÇÃO. AF_12/2015</t>
  </si>
  <si>
    <t xml:space="preserve"> 91939 </t>
  </si>
  <si>
    <t>CAIXA RETANGULAR 4" X 2" ALTA (2,00 M DO PISO), PVC, INSTALADA EM PAREDE - FORNECIMENTO E INSTALAÇÃO. AF_12/2015</t>
  </si>
  <si>
    <t xml:space="preserve"> 92004 </t>
  </si>
  <si>
    <t>TOMADA MÉDIA DE EMBUTIR (2 MÓDULOS), 2P+T 10 A, INCLUINDO SUPORTE E PLACA - FORNECIMENTO E INSTALAÇÃO. AF_12/2015</t>
  </si>
  <si>
    <t xml:space="preserve"> 89450 </t>
  </si>
  <si>
    <t>TUBO, PVC, SOLDÁVEL, DN 60MM, INSTALADO EM PRUMADA DE ÁGUA - FORNECIMENTO E INSTALAÇÃO. AF_12/2014</t>
  </si>
  <si>
    <t xml:space="preserve"> 89505 </t>
  </si>
  <si>
    <t>JOELHO 90 GRAUS, PVC, SOLDÁVEL, DN 60MM, INSTALADO EM PRUMADA DE ÁGUA - FORNECIMENTO E INSTALAÇÃO. AF_12/2014</t>
  </si>
  <si>
    <t xml:space="preserve"> 89506 </t>
  </si>
  <si>
    <t>JOELHO 45 GRAUS, PVC, SOLDÁVEL, DN 60MM, INSTALADO EM PRUMADA DE ÁGUA - FORNECIMENTO E INSTALAÇÃO. AF_12/2014</t>
  </si>
  <si>
    <t xml:space="preserve"> 89597 </t>
  </si>
  <si>
    <t>LUVA, PVC, SOLDÁVEL, DN 60MM, INSTALADO EM PRUMADA DE ÁGUA - FORNECIMENTO E INSTALAÇÃO. AF_12/2014</t>
  </si>
  <si>
    <t xml:space="preserve"> 89609 </t>
  </si>
  <si>
    <t>UNIÃO, PVC, SOLDÁVEL, DN 60MM, INSTALADO EM PRUMADA DE ÁGUA - FORNECIMENTO E INSTALAÇÃO. AF_12/2014</t>
  </si>
  <si>
    <t xml:space="preserve"> 89610 </t>
  </si>
  <si>
    <t>ADAPTADOR CURTO COM BOLSA E ROSCA PARA REGISTRO, PVC, SOLDÁVEL, DN 60MM X 2, INSTALADO EM PRUMADA DE ÁGUA - FORNECIMENTO E INSTALAÇÃO. AF_12/2014</t>
  </si>
  <si>
    <t xml:space="preserve"> 89628 </t>
  </si>
  <si>
    <t>TE, PVC, SOLDÁVEL, DN 60MM, INSTALADO EM PRUMADA DE ÁGUA - FORNECIMENTO E INSTALAÇÃO. AF_12/2014</t>
  </si>
  <si>
    <t xml:space="preserve"> 90437 </t>
  </si>
  <si>
    <t>FURO EM ALVENARIA PARA DIÂMETROS MAIORES QUE 40 MM E MENORES OU IGUAIS A 75 MM. AF_05/2015</t>
  </si>
  <si>
    <t xml:space="preserve"> 90454 </t>
  </si>
  <si>
    <t>PASSANTE TIPO TUBO DE DIÂMETRO MAIORES QUE 40 MM E MENORES OU IGUAIS A 75 MM, FIXADO EM LAJE. AF_05/2015</t>
  </si>
  <si>
    <t xml:space="preserve"> 91191 </t>
  </si>
  <si>
    <t>CHUMBAMENTO PONTUAL EM PASSAGEM DE TUBO COM DIÂMETROS ENTRE 40 MM E 75 MM. AF_05/2015</t>
  </si>
  <si>
    <t xml:space="preserve"> 00006013 </t>
  </si>
  <si>
    <t>REGISTRO GAVETA COM ACABAMENTO E CANOPLA CROMADOS, SIMPLES, BITOLA 1 " (REF 1509)</t>
  </si>
  <si>
    <t xml:space="preserve"> 00000300 </t>
  </si>
  <si>
    <t>ANEL BORRACHA, DN 150 MM, PARA TUBO SERIE REFORCADA ESGOTO PREDIAL</t>
  </si>
  <si>
    <t>CHAPISCO APLICADO EM ALVENARIA (COM PRESENÇA DE VÃOS) E ESTRUTURAS DE CONCRETO DE FACHADA, COM COLHER DE PEDREIRO.  ARGAMASSA TRAÇO 1:3 COM PREPARO EM BETONEIRA 400L. AF_06/2014</t>
  </si>
  <si>
    <t xml:space="preserve"> 95957 </t>
  </si>
  <si>
    <t>(COMPOSIÇÃO REPRESENTATIVA) EXECUÇÃO DE ESTRUTURAS DE CONCRETO ARMADO, PARA EDIFICAÇÃO INSTITUCIONAL TÉRREA, FCK = 25 MPA. AF_01/2017</t>
  </si>
  <si>
    <t xml:space="preserve"> 89048 </t>
  </si>
  <si>
    <t>(COMPOSIÇÃO REPRESENTATIVA) DO SERVIÇO DE EMBOÇO/MASSA ÚNICA, TRAÇO 1:2:8, PREPARO MECÂNICO, COM BETONEIRA DE 400L, EM PAREDES DE AMBIENTES INTERNOS, COM EXECUÇÃO DE TALISCAS, PARA EDIFICAÇÃO HABITACIONAL MULTIFAMILIAR (PRÉDIO). AF_11/2014</t>
  </si>
  <si>
    <t xml:space="preserve"> 89451 </t>
  </si>
  <si>
    <t>TUBO, PVC, SOLDÁVEL, DN 75MM, INSTALADO EM PRUMADA DE ÁGUA - FORNECIMENTO E INSTALAÇÃO. AF_12/2014</t>
  </si>
  <si>
    <t xml:space="preserve"> 89515 </t>
  </si>
  <si>
    <t>JOELHO 45 GRAUS, PVC, SOLDÁVEL, DN 75MM, INSTALADO EM PRUMADA DE ÁGUA - FORNECIMENTO E INSTALAÇÃO. AF_12/2014</t>
  </si>
  <si>
    <t xml:space="preserve"> 89611 </t>
  </si>
  <si>
    <t>LUVA, PVC, SOLDÁVEL, DN 75MM, INSTALADO EM PRUMADA DE ÁGUA - FORNECIMENTO E INSTALAÇÃO. AF_12/2014</t>
  </si>
  <si>
    <t xml:space="preserve"> 89612 </t>
  </si>
  <si>
    <t>UNIÃO, PVC, SOLDÁVEL, DN 75MM, INSTALADO EM PRUMADA DE ÁGUA - FORNECIMENTO E INSTALAÇÃO. AF_12/2014</t>
  </si>
  <si>
    <t xml:space="preserve"> 89613 </t>
  </si>
  <si>
    <t>ADAPTADOR CURTO COM BOLSA E ROSCA PARA REGISTRO, PVC, SOLDÁVEL, DN 75MM X 2.1/2, INSTALADO EM PRUMADA DE ÁGUA - FORNECIMENTO E INSTALAÇÃO. AF_12/2014</t>
  </si>
  <si>
    <t xml:space="preserve"> 89629 </t>
  </si>
  <si>
    <t>TE, PVC, SOLDÁVEL, DN 75MM, INSTALADO EM PRUMADA DE ÁGUA - FORNECIMENTO E INSTALAÇÃO. AF_12/2014</t>
  </si>
  <si>
    <t xml:space="preserve"> 89513 </t>
  </si>
  <si>
    <t>JOELHO 90 GRAUS, PVC, SOLDÁVEL, DN 75MM, INSTALADO EM PRUMADA DE ÁGUA - FORNECIMENTO E INSTALAÇÃO. AF_12/2014</t>
  </si>
  <si>
    <t xml:space="preserve"> 88241 </t>
  </si>
  <si>
    <t>AJUDANTE DE OPERAÇÃO EM GERAL COM ENCARGOS COMPLEMENTARES</t>
  </si>
  <si>
    <t xml:space="preserve"> 88277 </t>
  </si>
  <si>
    <t>MONTADOR (TUBO AÇO/EQUIPAMENTOS) COM ENCARGOS COMPLEMENTARES</t>
  </si>
  <si>
    <t xml:space="preserve"> 88423 </t>
  </si>
  <si>
    <t>APLICAÇÃO MANUAL DE PINTURA COM TINTA TEXTURIZADA ACRÍLICA EM PAREDES EXTERNAS DE CASAS, UMA COR. AF_06/2014</t>
  </si>
  <si>
    <t xml:space="preserve"> 00037539 </t>
  </si>
  <si>
    <t>PLACA DE SINALIZACAO DE SEGURANCA CONTRA INCENDIO, FOTOLUMINESCENTE, RETANGULAR, *13 X 26* CM, EM PVC *2* MM ANTI-CHAMAS (SIMBOLOS, CORES E PICTOGRAMAS CONFORME NBR 13434)</t>
  </si>
  <si>
    <t>TRANSPORTE COM CAMINHÃO BASCULANTE DE 6 M³, EM VIA URBANA PAVIMENTADA, ADICIONAL PARA DMT EXCEDENTE A 30 KM (UNIDADE: M3XKM). AF_07/2020</t>
  </si>
  <si>
    <t>M3XKM</t>
  </si>
  <si>
    <t xml:space="preserve"> 100981 </t>
  </si>
  <si>
    <t>CARGA, MANOBRA E DESCARGA DE ENTULHO EM CAMINHÃO BASCULANTE 6 M³ - CARGA COM ESCAVADEIRA HIDRÁULICA  (CAÇAMBA DE 0,80 M³ / 111 HP) E DESCARGA LIVRE (UNIDADE: M3). AF_07/2020</t>
  </si>
  <si>
    <t xml:space="preserve"> 2.1.1.5 </t>
  </si>
  <si>
    <t>Composição de Encargos Sociais - Horista não desonerado</t>
  </si>
  <si>
    <r>
      <t xml:space="preserve">Preencha o percentual referente à mão-de-obra na célula </t>
    </r>
    <r>
      <rPr>
        <b/>
        <sz val="8"/>
        <color indexed="45"/>
        <rFont val="Arial"/>
        <family val="2"/>
      </rPr>
      <t xml:space="preserve">B230 </t>
    </r>
    <r>
      <rPr>
        <sz val="8"/>
        <rFont val="Arial"/>
        <family val="2"/>
      </rPr>
      <t xml:space="preserve">da </t>
    </r>
    <r>
      <rPr>
        <b/>
        <sz val="8"/>
        <rFont val="Arial"/>
        <family val="2"/>
      </rPr>
      <t>Planilha de Orçamento Sintético</t>
    </r>
    <r>
      <rPr>
        <sz val="8"/>
        <rFont val="Arial"/>
        <family val="2"/>
      </rPr>
      <t>;</t>
    </r>
  </si>
  <si>
    <t>Pintura PVA</t>
  </si>
  <si>
    <t>Laminado melamínico</t>
  </si>
  <si>
    <t>Fórmica</t>
  </si>
  <si>
    <t>L 190</t>
  </si>
  <si>
    <t>Adesivo de contato</t>
  </si>
  <si>
    <t>Cola de contato</t>
  </si>
  <si>
    <t>Pastilha branca</t>
  </si>
  <si>
    <t>Atlas</t>
  </si>
  <si>
    <t>Referência B-2140</t>
  </si>
  <si>
    <t>Cerâmica branca</t>
  </si>
  <si>
    <t>Eliane</t>
  </si>
  <si>
    <t>Foma</t>
  </si>
  <si>
    <t>Pintura branca</t>
  </si>
  <si>
    <t>Pintura preta</t>
  </si>
  <si>
    <t>Pintura amarela</t>
  </si>
  <si>
    <t>Quartzolit</t>
  </si>
  <si>
    <t>Porcelanato cinza claro</t>
  </si>
  <si>
    <t>Porcelanato cinza escuro</t>
  </si>
  <si>
    <t>Piso vinílico cinza</t>
  </si>
  <si>
    <t>Adesivo</t>
  </si>
  <si>
    <t>Biancogres</t>
  </si>
  <si>
    <t>PortoKoll</t>
  </si>
  <si>
    <t>Tarkett</t>
  </si>
  <si>
    <t>interiores e exteriores</t>
  </si>
  <si>
    <t>Superflex AC III</t>
  </si>
  <si>
    <t>Rejuntamento colorido para porcelanatos e cerâmicas</t>
  </si>
  <si>
    <t>Cemento</t>
  </si>
  <si>
    <t>AC II</t>
  </si>
  <si>
    <t>Linha Square,
Coleção acoustic,
Código 24560032</t>
  </si>
  <si>
    <t>Tackfix</t>
  </si>
  <si>
    <t xml:space="preserve">Granito Bege </t>
  </si>
  <si>
    <t>Granito Preto</t>
  </si>
  <si>
    <t>Bege  ipanema</t>
  </si>
  <si>
    <t>São Gabriel</t>
  </si>
  <si>
    <t>P-Flex tipo II</t>
  </si>
  <si>
    <t>Pintura Esmalte</t>
  </si>
  <si>
    <t>Lavatório de semi-encaixe (padrão)</t>
  </si>
  <si>
    <t>Lavatório com coluna suspensa (PCD)</t>
  </si>
  <si>
    <t>Coluna para lavatório (PCD)</t>
  </si>
  <si>
    <t>Deca</t>
  </si>
  <si>
    <t>Linha Monte Carlo, L82.17</t>
  </si>
  <si>
    <t>Vogue Plus, L.51.17</t>
  </si>
  <si>
    <t>CS.1.17</t>
  </si>
  <si>
    <t>Válvula de escoamento (padrão e PCD)</t>
  </si>
  <si>
    <t>Sifão (padrão)</t>
  </si>
  <si>
    <t>Sifão (PCD)</t>
  </si>
  <si>
    <t>Torneira de mesa (padrão)</t>
  </si>
  <si>
    <t>Torneira com alavanca (PCD)</t>
  </si>
  <si>
    <t>Ligação flexivel (padrão)</t>
  </si>
  <si>
    <t>Ligação flexivel (PCD)</t>
  </si>
  <si>
    <t>Bacia sanitária (padrão)</t>
  </si>
  <si>
    <t>Bacia sanitária (PCD)</t>
  </si>
  <si>
    <t>Assento para bacia sanitária (padrão)</t>
  </si>
  <si>
    <t>Assento para bacia sanitária (PCD)</t>
  </si>
  <si>
    <t>Tubo de ligação (padrão e PCD)</t>
  </si>
  <si>
    <t>Anel de vedação (padrão e PCD)</t>
  </si>
  <si>
    <t>Esteves</t>
  </si>
  <si>
    <t>Astra</t>
  </si>
  <si>
    <t>Docol</t>
  </si>
  <si>
    <t>1601 C</t>
  </si>
  <si>
    <t>VSM 182</t>
  </si>
  <si>
    <t>1x1½”</t>
  </si>
  <si>
    <t>Linha Decamatic Eco, Código 1173.C</t>
  </si>
  <si>
    <t>Linha Pressmatic Benefit, 00490706</t>
  </si>
  <si>
    <t>VLL 448</t>
  </si>
  <si>
    <t>4607C 050</t>
  </si>
  <si>
    <t>Linha Monte Carlo/ P.8.17</t>
  </si>
  <si>
    <t>Vogue Plus Conforto sem abertura frontal, P.510.17</t>
  </si>
  <si>
    <t>Linha Monte Carlo AP. 80.17</t>
  </si>
  <si>
    <t>Vogue Plus AP.50.17</t>
  </si>
  <si>
    <t>1968.C</t>
  </si>
  <si>
    <t>Linha DECANEL, AV 90.01</t>
  </si>
  <si>
    <t>Válvula de descarga</t>
  </si>
  <si>
    <t>Mictórios</t>
  </si>
  <si>
    <t>Válvula para mictório</t>
  </si>
  <si>
    <t>Ligação flexivel</t>
  </si>
  <si>
    <t>Registro de gaveta 3/4"</t>
  </si>
  <si>
    <t>Acabamento de registro de gaveta 3/4"</t>
  </si>
  <si>
    <t>Registro de gaveta 1 1/2"</t>
  </si>
  <si>
    <t>Acabamento de registro de gaveta 1 1/2"</t>
  </si>
  <si>
    <t>Registro de pressão 3/4" (padrão e PCD)</t>
  </si>
  <si>
    <t>Acabamento de registro de pressão 3/4" (padrão)</t>
  </si>
  <si>
    <t>Acabamento de registro de pressão 3/4" (PCD)</t>
  </si>
  <si>
    <t>Tampa de ralo 15x15cm</t>
  </si>
  <si>
    <t>Tampa de ralo 10x10cm</t>
  </si>
  <si>
    <t>Tampa de ralo cega 15x15cm</t>
  </si>
  <si>
    <t>Linha Hidra Duo Pro 2545.C.112PRO e 4900.C.DUO.PRO</t>
  </si>
  <si>
    <t>M 715.17</t>
  </si>
  <si>
    <t>2570 C</t>
  </si>
  <si>
    <t>Linha Flex, 4900.C20.PQ</t>
  </si>
  <si>
    <t>Linha Flex, 4900.C20.GD</t>
  </si>
  <si>
    <t>Linha Flex Plus, 4916.C21.PQ</t>
  </si>
  <si>
    <t>291702-41</t>
  </si>
  <si>
    <t xml:space="preserve">Tampa de ralo linear </t>
  </si>
  <si>
    <t>Cabide para divisória</t>
  </si>
  <si>
    <t>Porta objetos</t>
  </si>
  <si>
    <t>Torneira de parede</t>
  </si>
  <si>
    <t>Mão francesa 20x25cm</t>
  </si>
  <si>
    <t>Barra de apoio 80cm</t>
  </si>
  <si>
    <t>Barra de apoio 70cm</t>
  </si>
  <si>
    <t>Barra de apoio 40cm</t>
  </si>
  <si>
    <t>Barras de apoio curva 30cm</t>
  </si>
  <si>
    <t>Sekapiso</t>
  </si>
  <si>
    <t>Neocom</t>
  </si>
  <si>
    <t>Azamar</t>
  </si>
  <si>
    <t>Levevida</t>
  </si>
  <si>
    <t xml:space="preserve">Abreseka </t>
  </si>
  <si>
    <t>Alcoplac Normatizado</t>
  </si>
  <si>
    <t>Linha Standard, 1154.C39</t>
  </si>
  <si>
    <t>Barra de apoio em L 70x80cm</t>
  </si>
  <si>
    <t>Ducha</t>
  </si>
  <si>
    <t>Banco (PCD)</t>
  </si>
  <si>
    <t>Lorenzetti</t>
  </si>
  <si>
    <t>Maxi Banho Ultra</t>
  </si>
  <si>
    <t>Mão francesa 20x30cm</t>
  </si>
  <si>
    <t>Tanque</t>
  </si>
  <si>
    <t>válvula de escoamento</t>
  </si>
  <si>
    <t>Sifão</t>
  </si>
  <si>
    <t>TQ.03 e CT25</t>
  </si>
  <si>
    <t>1606 C,</t>
  </si>
  <si>
    <t>Cuba para cozinha</t>
  </si>
  <si>
    <t>Válvula de escoamento</t>
  </si>
  <si>
    <t>Torneira para cozinha</t>
  </si>
  <si>
    <t>Ligação flexível</t>
  </si>
  <si>
    <t>Linha Prime, modelo Retangular, 94024206</t>
  </si>
  <si>
    <t>Fast, 1167.C59</t>
  </si>
  <si>
    <t>4607.C.050</t>
  </si>
  <si>
    <t>Divisória em laminado estrutural TS (maciço)portas e conjunto de ferragens</t>
  </si>
  <si>
    <t>Tipo Tetos, código D112 Unidirecional</t>
  </si>
  <si>
    <t>Luminária circular de embutir</t>
  </si>
  <si>
    <t>Chicote para ligação</t>
  </si>
  <si>
    <t xml:space="preserve">Plugue </t>
  </si>
  <si>
    <t>Tomada fêmea</t>
  </si>
  <si>
    <t>LED</t>
  </si>
  <si>
    <t>Legrand</t>
  </si>
  <si>
    <t>Injetel/ WEG</t>
  </si>
  <si>
    <t>EF45-E12000840</t>
  </si>
  <si>
    <t>PP Cordplast</t>
  </si>
  <si>
    <t>Tradicional43011N1</t>
  </si>
  <si>
    <t>Suporte 4x2"</t>
  </si>
  <si>
    <t>Espelho 4x2"</t>
  </si>
  <si>
    <t>Módulo de tomada 10A</t>
  </si>
  <si>
    <t>Módulo de tomada 20A</t>
  </si>
  <si>
    <t>Módulo de tomada cego</t>
  </si>
  <si>
    <t>Módulo de interruptor simples</t>
  </si>
  <si>
    <t>Pial</t>
  </si>
  <si>
    <t>Nereya 6632 99</t>
  </si>
  <si>
    <t>Nereya 6632 60</t>
  </si>
  <si>
    <t>Nereya 6630 52</t>
  </si>
  <si>
    <t>Nereya 6630 57</t>
  </si>
  <si>
    <t>Nereya 6632 96</t>
  </si>
  <si>
    <t>Nereya 6630 15</t>
  </si>
  <si>
    <t>Campainha de sinalização de emergência</t>
  </si>
  <si>
    <t>GRA</t>
  </si>
  <si>
    <t>Eletroduto para instalação aparente</t>
  </si>
  <si>
    <t>Eletroduto flexível</t>
  </si>
  <si>
    <t>Cabo elétrico unipolar</t>
  </si>
  <si>
    <t>Cemar</t>
  </si>
  <si>
    <t>Condumulti</t>
  </si>
  <si>
    <t>Superastic Flex</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</si>
</sst>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m/yyyy"/>
    <numFmt numFmtId="165" formatCode="#,##0.00\ %"/>
    <numFmt numFmtId="166" formatCode="_-* #,##0.00_-;\-* #,##0.00_-;_-* \-??_-;_-@_-"/>
    <numFmt numFmtId="167" formatCode="#,##0.00_ ;\-#,##0.00\ "/>
    <numFmt numFmtId="168" formatCode="#,##0.0000000"/>
    <numFmt numFmtId="169" formatCode="#,##0.0000"/>
  </numFmts>
  <fonts count="30">
    <font>
      <sz val="10"/>
      <name val="Arial"/>
      <family val="2"/>
    </font>
    <font>
      <sz val="11"/>
      <color indexed="55"/>
      <name val="Calibri"/>
      <family val="2"/>
    </font>
    <font>
      <sz val="11"/>
      <name val="Arial"/>
      <family val="1"/>
    </font>
    <font>
      <sz val="10"/>
      <name val="Tahoma"/>
      <family val="2"/>
    </font>
    <font>
      <b/>
      <sz val="10"/>
      <name val="Arial"/>
      <family val="2"/>
    </font>
    <font>
      <sz val="4"/>
      <name val="Arial"/>
      <family val="2"/>
    </font>
    <font>
      <b/>
      <sz val="8"/>
      <name val="Arial"/>
      <family val="2"/>
    </font>
    <font>
      <b/>
      <sz val="8"/>
      <color indexed="55"/>
      <name val="Arial"/>
      <family val="2"/>
    </font>
    <font>
      <sz val="8"/>
      <name val="Arial"/>
      <family val="2"/>
    </font>
    <font>
      <b/>
      <sz val="8"/>
      <color indexed="45"/>
      <name val="Arial"/>
      <family val="2"/>
    </font>
    <font>
      <b/>
      <u val="single"/>
      <sz val="8"/>
      <color indexed="45"/>
      <name val="Arial"/>
      <family val="2"/>
    </font>
    <font>
      <sz val="8"/>
      <color indexed="55"/>
      <name val="Arial"/>
      <family val="2"/>
    </font>
    <font>
      <b/>
      <sz val="11"/>
      <name val="Arial"/>
      <family val="2"/>
    </font>
    <font>
      <b/>
      <sz val="11"/>
      <color indexed="55"/>
      <name val="Arial"/>
      <family val="2"/>
    </font>
    <font>
      <b/>
      <i/>
      <sz val="8"/>
      <name val="Arial"/>
      <family val="1"/>
    </font>
    <font>
      <i/>
      <sz val="8"/>
      <color indexed="55"/>
      <name val="Arial"/>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60"/>
      <name val="Calibri"/>
      <family val="2"/>
    </font>
    <font>
      <sz val="11"/>
      <color indexed="54"/>
      <name val="Calibri"/>
      <family val="2"/>
    </font>
    <font>
      <b/>
      <sz val="11"/>
      <color indexed="55"/>
      <name val="Calibri"/>
      <family val="2"/>
    </font>
    <font>
      <b/>
      <sz val="11"/>
      <color indexed="45"/>
      <name val="Calibri"/>
      <family val="2"/>
    </font>
    <font>
      <sz val="11"/>
      <color indexed="45"/>
      <name val="Calibri"/>
      <family val="2"/>
    </font>
    <font>
      <b/>
      <sz val="11"/>
      <color indexed="27"/>
      <name val="Calibri"/>
      <family val="2"/>
    </font>
    <font>
      <i/>
      <sz val="11"/>
      <color indexed="38"/>
      <name val="Calibri"/>
      <family val="2"/>
    </font>
    <font>
      <sz val="11"/>
      <color indexed="27"/>
      <name val="Calibri"/>
      <family val="2"/>
    </font>
  </fonts>
  <fills count="30">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35"/>
        <bgColor indexed="64"/>
      </patternFill>
    </fill>
    <fill>
      <patternFill patternType="solid">
        <fgColor indexed="33"/>
        <bgColor indexed="64"/>
      </patternFill>
    </fill>
    <fill>
      <patternFill patternType="solid">
        <fgColor indexed="34"/>
        <bgColor indexed="64"/>
      </patternFill>
    </fill>
    <fill>
      <patternFill patternType="solid">
        <fgColor indexed="36"/>
        <bgColor indexed="64"/>
      </patternFill>
    </fill>
    <fill>
      <patternFill patternType="solid">
        <fgColor indexed="39"/>
        <bgColor indexed="64"/>
      </patternFill>
    </fill>
    <fill>
      <patternFill patternType="solid">
        <fgColor indexed="16"/>
        <bgColor indexed="64"/>
      </patternFill>
    </fill>
    <fill>
      <patternFill patternType="solid">
        <fgColor indexed="19"/>
        <bgColor indexed="64"/>
      </patternFill>
    </fill>
    <fill>
      <patternFill patternType="solid">
        <fgColor indexed="37"/>
        <bgColor indexed="64"/>
      </patternFill>
    </fill>
    <fill>
      <patternFill patternType="solid">
        <fgColor indexed="23"/>
        <bgColor indexed="64"/>
      </patternFill>
    </fill>
    <fill>
      <patternFill patternType="solid">
        <fgColor indexed="15"/>
        <bgColor indexed="64"/>
      </patternFill>
    </fill>
    <fill>
      <patternFill patternType="solid">
        <fgColor indexed="38"/>
        <bgColor indexed="64"/>
      </patternFill>
    </fill>
    <fill>
      <patternFill patternType="solid">
        <fgColor indexed="54"/>
        <bgColor indexed="64"/>
      </patternFill>
    </fill>
    <fill>
      <patternFill patternType="solid">
        <fgColor indexed="4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indexed="16"/>
        <bgColor indexed="64"/>
      </patternFill>
    </fill>
    <fill>
      <patternFill patternType="solid">
        <fgColor indexed="27"/>
        <bgColor indexed="64"/>
      </patternFill>
    </fill>
    <fill>
      <patternFill patternType="solid">
        <fgColor indexed="47"/>
        <bgColor indexed="64"/>
      </patternFill>
    </fill>
    <fill>
      <patternFill patternType="solid">
        <fgColor indexed="19"/>
        <bgColor indexed="64"/>
      </patternFill>
    </fill>
    <fill>
      <patternFill patternType="solid">
        <fgColor indexed="27"/>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14"/>
        <bgColor indexed="64"/>
      </patternFill>
    </fill>
  </fills>
  <borders count="34">
    <border>
      <left/>
      <right/>
      <top/>
      <bottom/>
      <diagonal/>
    </border>
    <border>
      <left style="thin">
        <color indexed="38"/>
      </left>
      <right style="thin">
        <color indexed="38"/>
      </right>
      <top style="thin">
        <color indexed="38"/>
      </top>
      <bottom style="thin">
        <color indexed="38"/>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double">
        <color indexed="4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54"/>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54"/>
      </top>
      <bottom style="double">
        <color indexed="54"/>
      </bottom>
    </border>
    <border>
      <left style="thin"/>
      <right/>
      <top style="thin"/>
      <bottom/>
    </border>
    <border>
      <left/>
      <right style="thin"/>
      <top style="thin"/>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border>
    <border>
      <left style="thin"/>
      <right/>
      <top/>
      <bottom style="thin"/>
    </border>
    <border>
      <left style="thin">
        <color indexed="23"/>
      </left>
      <right style="thin">
        <color indexed="23"/>
      </right>
      <top style="thin">
        <color indexed="23"/>
      </top>
      <bottom style="thin">
        <color indexed="23"/>
      </bottom>
    </border>
    <border>
      <left style="thin"/>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right/>
      <top/>
      <bottom/>
    </border>
    <border>
      <left/>
      <right style="thin"/>
      <top/>
      <bottom/>
    </border>
    <border>
      <left/>
      <right/>
      <top style="thick">
        <color indexed="55"/>
      </top>
      <bottom/>
    </border>
    <border>
      <left style="thin">
        <color indexed="23"/>
      </left>
      <right style="thin">
        <color indexed="23"/>
      </right>
      <top style="thin">
        <color indexed="23"/>
      </top>
      <bottom/>
    </border>
    <border>
      <left style="thin">
        <color indexed="23"/>
      </left>
      <right style="thin">
        <color indexed="23"/>
      </right>
      <top/>
      <bottom style="thin">
        <color indexed="23"/>
      </bottom>
    </border>
    <border>
      <left style="thin"/>
      <right style="thin"/>
      <top/>
      <bottom/>
    </border>
    <border>
      <left style="thin"/>
      <right style="thin"/>
      <top style="thin"/>
      <bottom style="thin"/>
    </border>
    <border>
      <left/>
      <right/>
      <top style="thin"/>
      <bottom style="thin">
        <color indexed="23"/>
      </bottom>
    </border>
    <border>
      <left/>
      <right/>
      <top/>
      <bottom style="thin">
        <color indexed="23"/>
      </bottom>
    </border>
    <border>
      <left/>
      <right/>
      <top style="thin">
        <color indexed="23"/>
      </top>
      <bottom style="thin">
        <color indexed="23"/>
      </bottom>
    </border>
    <border>
      <left/>
      <right/>
      <top style="thin">
        <color indexed="23"/>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2"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0" fillId="7" borderId="0" applyNumberFormat="0" applyBorder="0" applyAlignment="0" applyProtection="0"/>
    <xf numFmtId="0" fontId="25" fillId="14" borderId="1" applyNumberFormat="0" applyAlignment="0" applyProtection="0"/>
    <xf numFmtId="0" fontId="27" fillId="15" borderId="2" applyNumberFormat="0" applyAlignment="0" applyProtection="0"/>
    <xf numFmtId="0" fontId="26" fillId="0" borderId="3" applyNumberFormat="0" applyFill="0" applyAlignment="0" applyProtection="0"/>
    <xf numFmtId="0" fontId="29" fillId="16"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8" borderId="0" applyNumberFormat="0" applyBorder="0" applyAlignment="0" applyProtection="0"/>
    <xf numFmtId="0" fontId="29" fillId="18" borderId="0" applyNumberFormat="0" applyBorder="0" applyAlignment="0" applyProtection="0"/>
    <xf numFmtId="0" fontId="23" fillId="5" borderId="1" applyNumberFormat="0" applyAlignment="0" applyProtection="0"/>
    <xf numFmtId="0" fontId="2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5"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1" applyNumberFormat="0" applyFont="0" applyAlignment="0" applyProtection="0"/>
    <xf numFmtId="9" fontId="0" fillId="0" borderId="0" applyBorder="0" applyProtection="0">
      <alignment/>
    </xf>
    <xf numFmtId="9" fontId="2" fillId="0" borderId="0" applyBorder="0" applyProtection="0">
      <alignment/>
    </xf>
    <xf numFmtId="0" fontId="24" fillId="14" borderId="4" applyNumberFormat="0" applyAlignment="0" applyProtection="0"/>
    <xf numFmtId="166" fontId="2" fillId="0" borderId="0" applyBorder="0" applyProtection="0">
      <alignment/>
    </xf>
    <xf numFmtId="41" fontId="0" fillId="0" borderId="0" applyFon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 fillId="0" borderId="0">
      <alignment/>
      <protection/>
    </xf>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4" fillId="0" borderId="8" applyNumberFormat="0" applyFill="0" applyAlignment="0" applyProtection="0"/>
  </cellStyleXfs>
  <cellXfs count="240">
    <xf numFmtId="0" fontId="0" fillId="0" borderId="0" xfId="0" applyAlignment="1">
      <alignment/>
    </xf>
    <xf numFmtId="0" fontId="5" fillId="0" borderId="9" xfId="53" applyFont="1" applyBorder="1">
      <alignment/>
      <protection/>
    </xf>
    <xf numFmtId="0" fontId="5" fillId="0" borderId="10" xfId="53" applyFont="1" applyBorder="1">
      <alignment/>
      <protection/>
    </xf>
    <xf numFmtId="0" fontId="6" fillId="20" borderId="11" xfId="53" applyFont="1" applyFill="1" applyBorder="1" applyAlignment="1">
      <alignment horizontal="center"/>
      <protection/>
    </xf>
    <xf numFmtId="0" fontId="7" fillId="20" borderId="12" xfId="52" applyFont="1" applyFill="1" applyBorder="1" applyAlignment="1">
      <alignment vertical="distributed" wrapText="1"/>
      <protection/>
    </xf>
    <xf numFmtId="0" fontId="8" fillId="0" borderId="13" xfId="53" applyFont="1" applyBorder="1" applyAlignment="1">
      <alignment horizontal="center"/>
      <protection/>
    </xf>
    <xf numFmtId="0" fontId="8" fillId="0" borderId="14" xfId="53" applyFont="1" applyBorder="1" applyAlignment="1">
      <alignment horizontal="justify" vertical="distributed" wrapText="1"/>
      <protection/>
    </xf>
    <xf numFmtId="0" fontId="6" fillId="20" borderId="13" xfId="53" applyFont="1" applyFill="1" applyBorder="1" applyAlignment="1">
      <alignment horizontal="center"/>
      <protection/>
    </xf>
    <xf numFmtId="0" fontId="7" fillId="20" borderId="14" xfId="52" applyFont="1" applyFill="1" applyBorder="1" applyAlignment="1">
      <alignment vertical="distributed" wrapText="1"/>
      <protection/>
    </xf>
    <xf numFmtId="0" fontId="6" fillId="20" borderId="13" xfId="48" applyFont="1" applyFill="1" applyBorder="1" applyAlignment="1">
      <alignment horizontal="center"/>
      <protection/>
    </xf>
    <xf numFmtId="0" fontId="7" fillId="20" borderId="14" xfId="50" applyFont="1" applyFill="1" applyBorder="1" applyAlignment="1">
      <alignment vertical="distributed" wrapText="1"/>
      <protection/>
    </xf>
    <xf numFmtId="0" fontId="8" fillId="0" borderId="13" xfId="48" applyFont="1" applyBorder="1" applyAlignment="1">
      <alignment horizontal="center"/>
      <protection/>
    </xf>
    <xf numFmtId="0" fontId="8" fillId="0" borderId="14" xfId="48" applyFont="1" applyBorder="1" applyAlignment="1">
      <alignment horizontal="justify" vertical="distributed" wrapText="1"/>
      <protection/>
    </xf>
    <xf numFmtId="0" fontId="8" fillId="0" borderId="15" xfId="48" applyFont="1" applyBorder="1" applyAlignment="1">
      <alignment horizontal="center"/>
      <protection/>
    </xf>
    <xf numFmtId="0" fontId="8" fillId="0" borderId="16" xfId="48" applyFont="1" applyBorder="1" applyAlignment="1">
      <alignment horizontal="justify" vertical="distributed" wrapText="1"/>
      <protection/>
    </xf>
    <xf numFmtId="0" fontId="11" fillId="0" borderId="9" xfId="51" applyFont="1" applyBorder="1" applyAlignment="1">
      <alignment horizontal="left" vertical="top"/>
      <protection/>
    </xf>
    <xf numFmtId="0" fontId="11" fillId="0" borderId="17" xfId="51" applyFont="1" applyBorder="1" applyAlignment="1">
      <alignment horizontal="left" vertical="top"/>
      <protection/>
    </xf>
    <xf numFmtId="0" fontId="0" fillId="0" borderId="0" xfId="0" applyFont="1" applyAlignment="1">
      <alignment/>
    </xf>
    <xf numFmtId="164" fontId="7" fillId="0" borderId="18" xfId="51" applyNumberFormat="1" applyFont="1" applyBorder="1" applyAlignment="1">
      <alignment horizontal="center" vertical="top"/>
      <protection/>
    </xf>
    <xf numFmtId="0" fontId="2" fillId="0" borderId="0" xfId="0" applyFont="1" applyAlignment="1">
      <alignment/>
    </xf>
    <xf numFmtId="0" fontId="4" fillId="21" borderId="19" xfId="48" applyFont="1" applyFill="1" applyBorder="1" applyAlignment="1">
      <alignment horizontal="center" vertical="center" wrapText="1"/>
      <protection/>
    </xf>
    <xf numFmtId="0" fontId="4" fillId="21" borderId="19" xfId="48" applyFont="1" applyFill="1" applyBorder="1" applyAlignment="1">
      <alignment horizontal="center" vertical="top" wrapText="1"/>
      <protection/>
    </xf>
    <xf numFmtId="0" fontId="7" fillId="20" borderId="19" xfId="48" applyFont="1" applyFill="1" applyBorder="1" applyAlignment="1">
      <alignment horizontal="left" vertical="center" wrapText="1"/>
      <protection/>
    </xf>
    <xf numFmtId="165" fontId="7" fillId="20" borderId="19" xfId="48" applyNumberFormat="1" applyFont="1" applyFill="1" applyBorder="1" applyAlignment="1">
      <alignment horizontal="right" vertical="center" wrapText="1"/>
      <protection/>
    </xf>
    <xf numFmtId="4" fontId="7" fillId="20" borderId="19" xfId="48" applyNumberFormat="1" applyFont="1" applyFill="1" applyBorder="1" applyAlignment="1">
      <alignment horizontal="right" vertical="center" wrapText="1"/>
      <protection/>
    </xf>
    <xf numFmtId="0" fontId="8" fillId="22" borderId="0" xfId="48" applyFont="1" applyFill="1" applyAlignment="1">
      <alignment horizontal="center" vertical="top" wrapText="1"/>
      <protection/>
    </xf>
    <xf numFmtId="0" fontId="6" fillId="23" borderId="0" xfId="48" applyFont="1" applyFill="1" applyBorder="1" applyAlignment="1">
      <alignment horizontal="right" vertical="top" wrapText="1"/>
      <protection/>
    </xf>
    <xf numFmtId="0" fontId="6" fillId="21" borderId="0" xfId="0" applyFont="1" applyFill="1" applyAlignment="1">
      <alignment horizontal="right" vertical="top" wrapText="1"/>
    </xf>
    <xf numFmtId="166" fontId="6" fillId="21" borderId="0" xfId="58" applyFont="1" applyFill="1" applyBorder="1" applyAlignment="1" applyProtection="1">
      <alignment vertical="top" wrapText="1"/>
      <protection/>
    </xf>
    <xf numFmtId="166" fontId="6" fillId="21" borderId="0" xfId="58" applyFont="1" applyFill="1" applyBorder="1" applyAlignment="1" applyProtection="1">
      <alignment horizontal="center" vertical="top" wrapText="1"/>
      <protection/>
    </xf>
    <xf numFmtId="0" fontId="8" fillId="0" borderId="0" xfId="0" applyFont="1" applyAlignment="1">
      <alignment/>
    </xf>
    <xf numFmtId="0" fontId="8" fillId="0" borderId="0" xfId="0" applyFont="1" applyAlignment="1">
      <alignment horizontal="center"/>
    </xf>
    <xf numFmtId="0" fontId="11" fillId="0" borderId="10" xfId="51" applyFont="1" applyBorder="1" applyAlignment="1">
      <alignment horizontal="center" vertical="top"/>
      <protection/>
    </xf>
    <xf numFmtId="0" fontId="7" fillId="0" borderId="17" xfId="0" applyFont="1" applyBorder="1" applyAlignment="1">
      <alignment horizontal="justify" vertical="top"/>
    </xf>
    <xf numFmtId="4" fontId="8" fillId="0" borderId="10" xfId="0" applyNumberFormat="1" applyFont="1" applyBorder="1" applyAlignment="1">
      <alignment vertical="top"/>
    </xf>
    <xf numFmtId="0" fontId="7" fillId="0" borderId="20" xfId="0" applyFont="1" applyBorder="1" applyAlignment="1">
      <alignment horizontal="justify" vertical="top"/>
    </xf>
    <xf numFmtId="0" fontId="11" fillId="0" borderId="10" xfId="51" applyFont="1" applyBorder="1" applyAlignment="1">
      <alignment horizontal="left" vertical="top"/>
      <protection/>
    </xf>
    <xf numFmtId="0" fontId="8" fillId="0" borderId="9" xfId="50" applyFont="1" applyBorder="1" applyAlignment="1">
      <alignment horizontal="left" vertical="top"/>
      <protection/>
    </xf>
    <xf numFmtId="0" fontId="11" fillId="0" borderId="10" xfId="51" applyFont="1" applyBorder="1" applyAlignment="1">
      <alignment horizontal="justify" vertical="top"/>
      <protection/>
    </xf>
    <xf numFmtId="0" fontId="4" fillId="21" borderId="19" xfId="48" applyFont="1" applyFill="1" applyBorder="1" applyAlignment="1">
      <alignment horizontal="center" vertical="top" wrapText="1"/>
      <protection/>
    </xf>
    <xf numFmtId="0" fontId="11" fillId="0" borderId="19" xfId="48" applyFont="1" applyBorder="1" applyAlignment="1">
      <alignment horizontal="left" vertical="center" wrapText="1"/>
      <protection/>
    </xf>
    <xf numFmtId="0" fontId="11" fillId="0" borderId="19" xfId="48" applyFont="1" applyBorder="1" applyAlignment="1">
      <alignment horizontal="center" vertical="center" wrapText="1"/>
      <protection/>
    </xf>
    <xf numFmtId="4" fontId="11" fillId="0" borderId="19" xfId="48" applyNumberFormat="1" applyFont="1" applyBorder="1" applyAlignment="1">
      <alignment horizontal="right" vertical="center" wrapText="1"/>
      <protection/>
    </xf>
    <xf numFmtId="0" fontId="8" fillId="0" borderId="0" xfId="48" applyFont="1" applyAlignment="1">
      <alignment horizontal="center" vertical="center" wrapText="1"/>
      <protection/>
    </xf>
    <xf numFmtId="0" fontId="6" fillId="21" borderId="1" xfId="0" applyFont="1" applyFill="1" applyBorder="1" applyAlignment="1">
      <alignment horizontal="center" vertical="center" wrapText="1"/>
    </xf>
    <xf numFmtId="9" fontId="6" fillId="21" borderId="1" xfId="56" applyFont="1" applyFill="1" applyBorder="1" applyAlignment="1" applyProtection="1">
      <alignment horizontal="center" vertical="center" wrapText="1"/>
      <protection/>
    </xf>
    <xf numFmtId="0" fontId="6" fillId="21" borderId="0" xfId="0" applyFont="1" applyFill="1" applyAlignment="1">
      <alignment horizontal="right" vertical="center" wrapText="1"/>
    </xf>
    <xf numFmtId="0" fontId="6" fillId="21" borderId="0" xfId="0" applyFont="1" applyFill="1" applyAlignment="1">
      <alignment horizontal="right" vertical="center"/>
    </xf>
    <xf numFmtId="166" fontId="6" fillId="21" borderId="0" xfId="58" applyFont="1" applyFill="1" applyBorder="1" applyAlignment="1" applyProtection="1">
      <alignment vertical="center" wrapText="1"/>
      <protection/>
    </xf>
    <xf numFmtId="0" fontId="4" fillId="21" borderId="19" xfId="0" applyFont="1" applyFill="1" applyBorder="1" applyAlignment="1">
      <alignment horizontal="center" vertical="top" wrapText="1"/>
    </xf>
    <xf numFmtId="164" fontId="6" fillId="0" borderId="20" xfId="51" applyNumberFormat="1" applyFont="1" applyBorder="1" applyAlignment="1">
      <alignment horizontal="center" vertical="top"/>
      <protection/>
    </xf>
    <xf numFmtId="0" fontId="6" fillId="20" borderId="21" xfId="62" applyFont="1" applyFill="1" applyBorder="1" applyAlignment="1">
      <alignment horizontal="center" vertical="distributed" wrapText="1"/>
      <protection/>
    </xf>
    <xf numFmtId="10" fontId="6" fillId="20" borderId="22" xfId="56" applyNumberFormat="1" applyFont="1" applyFill="1" applyBorder="1" applyAlignment="1" applyProtection="1">
      <alignment horizontal="center" vertical="distributed" wrapText="1"/>
      <protection/>
    </xf>
    <xf numFmtId="0" fontId="6" fillId="24" borderId="21" xfId="62" applyFont="1" applyFill="1" applyBorder="1" applyAlignment="1">
      <alignment horizontal="center" vertical="distributed" wrapText="1"/>
      <protection/>
    </xf>
    <xf numFmtId="10" fontId="6" fillId="24" borderId="22" xfId="56" applyNumberFormat="1" applyFont="1" applyFill="1" applyBorder="1" applyAlignment="1" applyProtection="1">
      <alignment horizontal="center" vertical="distributed" wrapText="1"/>
      <protection/>
    </xf>
    <xf numFmtId="0" fontId="8" fillId="0" borderId="19" xfId="48" applyFont="1" applyBorder="1" applyAlignment="1">
      <alignment horizontal="center" vertical="top" wrapText="1"/>
      <protection/>
    </xf>
    <xf numFmtId="0" fontId="8" fillId="0" borderId="21" xfId="48" applyFont="1" applyBorder="1" applyAlignment="1">
      <alignment vertical="top"/>
      <protection/>
    </xf>
    <xf numFmtId="0" fontId="8" fillId="0" borderId="22" xfId="48" applyFont="1" applyBorder="1" applyAlignment="1">
      <alignment vertical="top"/>
      <protection/>
    </xf>
    <xf numFmtId="10" fontId="8" fillId="0" borderId="19" xfId="56" applyNumberFormat="1" applyFont="1" applyBorder="1" applyAlignment="1" applyProtection="1">
      <alignment horizontal="center" vertical="top" wrapText="1"/>
      <protection/>
    </xf>
    <xf numFmtId="0" fontId="8" fillId="0" borderId="19" xfId="48" applyFont="1" applyBorder="1" applyAlignment="1">
      <alignment horizontal="left" vertical="top" wrapText="1"/>
      <protection/>
    </xf>
    <xf numFmtId="0" fontId="6" fillId="21" borderId="21" xfId="62" applyFont="1" applyFill="1" applyBorder="1" applyAlignment="1">
      <alignment horizontal="center" vertical="distributed" wrapText="1"/>
      <protection/>
    </xf>
    <xf numFmtId="10" fontId="6" fillId="21" borderId="22" xfId="56" applyNumberFormat="1" applyFont="1" applyFill="1" applyBorder="1" applyAlignment="1" applyProtection="1">
      <alignment horizontal="center" vertical="distributed" wrapText="1"/>
      <protection/>
    </xf>
    <xf numFmtId="0" fontId="8" fillId="0" borderId="19" xfId="48" applyFont="1" applyBorder="1" applyAlignment="1">
      <alignment horizontal="center" vertical="top" wrapText="1"/>
      <protection/>
    </xf>
    <xf numFmtId="0" fontId="8" fillId="0" borderId="21" xfId="48" applyFont="1" applyBorder="1" applyAlignment="1">
      <alignment vertical="top"/>
      <protection/>
    </xf>
    <xf numFmtId="0" fontId="8" fillId="0" borderId="22" xfId="48" applyFont="1" applyBorder="1" applyAlignment="1">
      <alignment vertical="top"/>
      <protection/>
    </xf>
    <xf numFmtId="10" fontId="8" fillId="0" borderId="19" xfId="56" applyNumberFormat="1" applyFont="1" applyBorder="1" applyAlignment="1" applyProtection="1">
      <alignment horizontal="center" vertical="top" wrapText="1"/>
      <protection/>
    </xf>
    <xf numFmtId="0" fontId="6" fillId="0" borderId="19" xfId="48" applyFont="1" applyBorder="1" applyAlignment="1">
      <alignment horizontal="center" vertical="top" wrapText="1"/>
      <protection/>
    </xf>
    <xf numFmtId="0" fontId="6" fillId="0" borderId="21" xfId="48" applyFont="1" applyBorder="1" applyAlignment="1">
      <alignment vertical="top"/>
      <protection/>
    </xf>
    <xf numFmtId="0" fontId="6" fillId="0" borderId="22" xfId="48" applyFont="1" applyBorder="1" applyAlignment="1">
      <alignment vertical="top"/>
      <protection/>
    </xf>
    <xf numFmtId="10" fontId="6" fillId="0" borderId="19" xfId="56" applyNumberFormat="1" applyFont="1" applyBorder="1" applyAlignment="1" applyProtection="1">
      <alignment horizontal="center" vertical="top" wrapText="1"/>
      <protection/>
    </xf>
    <xf numFmtId="164" fontId="6" fillId="0" borderId="18" xfId="51" applyNumberFormat="1" applyFont="1" applyBorder="1" applyAlignment="1">
      <alignment horizontal="center" vertical="center"/>
      <protection/>
    </xf>
    <xf numFmtId="0" fontId="4" fillId="21" borderId="19" xfId="0" applyFont="1" applyFill="1" applyBorder="1" applyAlignment="1">
      <alignment horizontal="center" vertical="center" wrapText="1"/>
    </xf>
    <xf numFmtId="0" fontId="6" fillId="22" borderId="0" xfId="0" applyFont="1" applyFill="1" applyAlignment="1">
      <alignment horizontal="left" vertical="top" wrapText="1"/>
    </xf>
    <xf numFmtId="10" fontId="6" fillId="22" borderId="0" xfId="56" applyNumberFormat="1" applyFont="1" applyFill="1" applyBorder="1" applyAlignment="1" applyProtection="1">
      <alignment horizontal="right" vertical="top" wrapText="1"/>
      <protection/>
    </xf>
    <xf numFmtId="4" fontId="6" fillId="22" borderId="0" xfId="0" applyNumberFormat="1" applyFont="1" applyFill="1" applyAlignment="1">
      <alignment horizontal="right" vertical="top" wrapText="1"/>
    </xf>
    <xf numFmtId="166" fontId="6" fillId="22" borderId="0" xfId="58" applyFont="1" applyFill="1" applyBorder="1" applyAlignment="1" applyProtection="1">
      <alignment horizontal="right" vertical="top" wrapText="1"/>
      <protection/>
    </xf>
    <xf numFmtId="0" fontId="6" fillId="24" borderId="19" xfId="0" applyFont="1" applyFill="1" applyBorder="1" applyAlignment="1">
      <alignment horizontal="right" vertical="top" wrapText="1"/>
    </xf>
    <xf numFmtId="166" fontId="6" fillId="24" borderId="19" xfId="58" applyFont="1" applyFill="1" applyBorder="1" applyAlignment="1" applyProtection="1">
      <alignment horizontal="right" vertical="top" wrapText="1"/>
      <protection/>
    </xf>
    <xf numFmtId="0" fontId="0" fillId="0" borderId="0" xfId="0" applyFont="1" applyFill="1" applyAlignment="1">
      <alignment/>
    </xf>
    <xf numFmtId="0" fontId="2" fillId="0" borderId="0" xfId="0" applyFont="1" applyFill="1" applyAlignment="1">
      <alignment/>
    </xf>
    <xf numFmtId="0" fontId="8" fillId="0" borderId="0" xfId="0" applyFont="1" applyFill="1" applyAlignment="1">
      <alignment/>
    </xf>
    <xf numFmtId="0" fontId="0" fillId="0" borderId="0" xfId="0" applyFill="1" applyAlignment="1">
      <alignment/>
    </xf>
    <xf numFmtId="0" fontId="7" fillId="0" borderId="20" xfId="0" applyNumberFormat="1" applyFont="1" applyBorder="1" applyAlignment="1">
      <alignment horizontal="center" vertical="top"/>
    </xf>
    <xf numFmtId="0" fontId="6" fillId="17" borderId="19" xfId="48" applyFont="1" applyFill="1" applyBorder="1" applyAlignment="1">
      <alignment horizontal="left" vertical="center" wrapText="1"/>
      <protection/>
    </xf>
    <xf numFmtId="0" fontId="7" fillId="25" borderId="19" xfId="48" applyFont="1" applyFill="1" applyBorder="1" applyAlignment="1">
      <alignment horizontal="left" vertical="center" wrapText="1"/>
      <protection/>
    </xf>
    <xf numFmtId="0" fontId="6" fillId="17" borderId="19" xfId="48" applyFont="1" applyFill="1" applyBorder="1" applyAlignment="1">
      <alignment horizontal="center" vertical="center" wrapText="1"/>
      <protection/>
    </xf>
    <xf numFmtId="3" fontId="6" fillId="17" borderId="19" xfId="48" applyNumberFormat="1" applyFont="1" applyFill="1" applyBorder="1" applyAlignment="1">
      <alignment horizontal="right" vertical="center" wrapText="1"/>
      <protection/>
    </xf>
    <xf numFmtId="4" fontId="6" fillId="17" borderId="19" xfId="48" applyNumberFormat="1" applyFont="1" applyFill="1" applyBorder="1" applyAlignment="1">
      <alignment horizontal="right" vertical="center" wrapText="1"/>
      <protection/>
    </xf>
    <xf numFmtId="0" fontId="7" fillId="25" borderId="19" xfId="48" applyFont="1" applyFill="1" applyBorder="1" applyAlignment="1">
      <alignment horizontal="center" vertical="center" wrapText="1"/>
      <protection/>
    </xf>
    <xf numFmtId="3" fontId="7" fillId="25" borderId="19" xfId="48" applyNumberFormat="1" applyFont="1" applyFill="1" applyBorder="1" applyAlignment="1">
      <alignment horizontal="right" vertical="center" wrapText="1"/>
      <protection/>
    </xf>
    <xf numFmtId="4" fontId="7" fillId="25" borderId="19" xfId="48" applyNumberFormat="1" applyFont="1" applyFill="1" applyBorder="1" applyAlignment="1">
      <alignment horizontal="right" vertical="center" wrapText="1"/>
      <protection/>
    </xf>
    <xf numFmtId="0" fontId="11" fillId="0" borderId="9" xfId="51" applyNumberFormat="1" applyFont="1" applyBorder="1" applyAlignment="1">
      <alignment horizontal="left" vertical="top"/>
      <protection/>
    </xf>
    <xf numFmtId="0" fontId="11" fillId="0" borderId="17" xfId="0" applyNumberFormat="1" applyFont="1" applyBorder="1" applyAlignment="1">
      <alignment horizontal="justify" vertical="top" wrapText="1"/>
    </xf>
    <xf numFmtId="0" fontId="11" fillId="0" borderId="17" xfId="51" applyNumberFormat="1" applyFont="1" applyBorder="1" applyAlignment="1">
      <alignment horizontal="left" vertical="top"/>
      <protection/>
    </xf>
    <xf numFmtId="0" fontId="7" fillId="0" borderId="18" xfId="51" applyNumberFormat="1" applyFont="1" applyBorder="1" applyAlignment="1">
      <alignment horizontal="center" vertical="top"/>
      <protection/>
    </xf>
    <xf numFmtId="0" fontId="11" fillId="0" borderId="20" xfId="0" applyNumberFormat="1" applyFont="1" applyBorder="1" applyAlignment="1">
      <alignment horizontal="justify" vertical="top"/>
    </xf>
    <xf numFmtId="0" fontId="7" fillId="0" borderId="20" xfId="0" applyFont="1" applyBorder="1" applyAlignment="1" applyProtection="1">
      <alignment horizontal="center" vertical="top"/>
      <protection locked="0"/>
    </xf>
    <xf numFmtId="0" fontId="8" fillId="0" borderId="23" xfId="50" applyFont="1" applyBorder="1" applyAlignment="1" applyProtection="1">
      <alignment horizontal="left" vertical="top"/>
      <protection locked="0"/>
    </xf>
    <xf numFmtId="0" fontId="11" fillId="0" borderId="24" xfId="51" applyFont="1" applyBorder="1" applyAlignment="1" applyProtection="1">
      <alignment horizontal="left" vertical="top"/>
      <protection locked="0"/>
    </xf>
    <xf numFmtId="0" fontId="11" fillId="0" borderId="9" xfId="51" applyFont="1" applyBorder="1" applyAlignment="1" applyProtection="1">
      <alignment horizontal="left" vertical="top"/>
      <protection/>
    </xf>
    <xf numFmtId="0" fontId="11" fillId="0" borderId="10" xfId="51" applyFont="1" applyBorder="1" applyAlignment="1" applyProtection="1">
      <alignment horizontal="left" vertical="top"/>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Alignment="1" applyProtection="1">
      <alignment/>
      <protection/>
    </xf>
    <xf numFmtId="0" fontId="4" fillId="21" borderId="19" xfId="48" applyFont="1" applyFill="1" applyBorder="1" applyAlignment="1" applyProtection="1">
      <alignment horizontal="center" vertical="top" wrapText="1"/>
      <protection/>
    </xf>
    <xf numFmtId="0" fontId="6" fillId="17" borderId="19" xfId="48" applyFont="1" applyFill="1" applyBorder="1" applyAlignment="1" applyProtection="1">
      <alignment horizontal="left" vertical="center" wrapText="1"/>
      <protection/>
    </xf>
    <xf numFmtId="0" fontId="6" fillId="17" borderId="19" xfId="48" applyFont="1" applyFill="1" applyBorder="1" applyAlignment="1" applyProtection="1">
      <alignment horizontal="center" vertical="center" wrapText="1"/>
      <protection/>
    </xf>
    <xf numFmtId="4" fontId="6" fillId="17" borderId="19" xfId="48" applyNumberFormat="1" applyFont="1" applyFill="1" applyBorder="1" applyAlignment="1" applyProtection="1">
      <alignment horizontal="right" vertical="center" wrapText="1"/>
      <protection/>
    </xf>
    <xf numFmtId="0" fontId="7" fillId="25" borderId="19" xfId="48" applyFont="1" applyFill="1" applyBorder="1" applyAlignment="1" applyProtection="1">
      <alignment horizontal="left" vertical="center" wrapText="1"/>
      <protection/>
    </xf>
    <xf numFmtId="0" fontId="7" fillId="25" borderId="19" xfId="48" applyFont="1" applyFill="1" applyBorder="1" applyAlignment="1" applyProtection="1">
      <alignment horizontal="center" vertical="center" wrapText="1"/>
      <protection/>
    </xf>
    <xf numFmtId="4" fontId="7" fillId="25" borderId="19" xfId="48" applyNumberFormat="1" applyFont="1" applyFill="1" applyBorder="1" applyAlignment="1" applyProtection="1">
      <alignment horizontal="right" vertical="center" wrapText="1"/>
      <protection/>
    </xf>
    <xf numFmtId="0" fontId="6" fillId="26" borderId="19" xfId="49" applyFont="1" applyFill="1" applyBorder="1" applyAlignment="1" applyProtection="1">
      <alignment horizontal="left" vertical="center" wrapText="1"/>
      <protection/>
    </xf>
    <xf numFmtId="0" fontId="7" fillId="26" borderId="19" xfId="49" applyFont="1" applyFill="1" applyBorder="1" applyAlignment="1" applyProtection="1">
      <alignment horizontal="center" vertical="center" wrapText="1"/>
      <protection/>
    </xf>
    <xf numFmtId="0" fontId="7" fillId="26" borderId="19" xfId="49" applyFont="1" applyFill="1" applyBorder="1" applyAlignment="1" applyProtection="1">
      <alignment horizontal="justify" vertical="center" wrapText="1"/>
      <protection/>
    </xf>
    <xf numFmtId="4" fontId="7" fillId="26" borderId="19" xfId="49" applyNumberFormat="1" applyFont="1" applyFill="1" applyBorder="1" applyAlignment="1" applyProtection="1">
      <alignment horizontal="right" vertical="center" wrapText="1"/>
      <protection/>
    </xf>
    <xf numFmtId="0" fontId="8" fillId="0" borderId="19" xfId="49" applyFont="1" applyBorder="1" applyAlignment="1" applyProtection="1">
      <alignment horizontal="left" vertical="center" wrapText="1"/>
      <protection/>
    </xf>
    <xf numFmtId="0" fontId="8" fillId="0" borderId="19" xfId="49" applyFont="1" applyBorder="1" applyAlignment="1" applyProtection="1">
      <alignment horizontal="center" vertical="center" wrapText="1"/>
      <protection/>
    </xf>
    <xf numFmtId="0" fontId="8" fillId="0" borderId="19" xfId="49" applyFont="1" applyBorder="1" applyAlignment="1" applyProtection="1">
      <alignment horizontal="justify" vertical="center" wrapText="1"/>
      <protection/>
    </xf>
    <xf numFmtId="4" fontId="8" fillId="0" borderId="19" xfId="49" applyNumberFormat="1" applyFont="1" applyBorder="1" applyAlignment="1" applyProtection="1">
      <alignment horizontal="right" vertical="center" wrapText="1"/>
      <protection/>
    </xf>
    <xf numFmtId="0" fontId="11" fillId="25" borderId="25" xfId="0" applyFont="1" applyFill="1" applyBorder="1" applyAlignment="1" applyProtection="1">
      <alignment horizontal="left" vertical="top" wrapText="1"/>
      <protection/>
    </xf>
    <xf numFmtId="0" fontId="6" fillId="25" borderId="19" xfId="0" applyFont="1" applyFill="1" applyBorder="1" applyAlignment="1" applyProtection="1">
      <alignment horizontal="left" vertical="top" wrapText="1"/>
      <protection/>
    </xf>
    <xf numFmtId="0" fontId="8" fillId="0" borderId="0" xfId="0" applyFont="1" applyAlignment="1" applyProtection="1">
      <alignment horizontal="center"/>
      <protection/>
    </xf>
    <xf numFmtId="3" fontId="6" fillId="17" borderId="19" xfId="48" applyNumberFormat="1" applyFont="1" applyFill="1" applyBorder="1" applyAlignment="1" applyProtection="1">
      <alignment horizontal="right" vertical="center" wrapText="1"/>
      <protection locked="0"/>
    </xf>
    <xf numFmtId="3" fontId="7" fillId="25" borderId="19" xfId="48" applyNumberFormat="1" applyFont="1" applyFill="1" applyBorder="1" applyAlignment="1" applyProtection="1">
      <alignment horizontal="right" vertical="center" wrapText="1"/>
      <protection locked="0"/>
    </xf>
    <xf numFmtId="168" fontId="7" fillId="26" borderId="19" xfId="49" applyNumberFormat="1" applyFont="1" applyFill="1" applyBorder="1" applyAlignment="1" applyProtection="1">
      <alignment horizontal="right" vertical="center" wrapText="1"/>
      <protection locked="0"/>
    </xf>
    <xf numFmtId="169" fontId="8" fillId="0" borderId="19" xfId="49" applyNumberFormat="1" applyFont="1" applyBorder="1" applyAlignment="1" applyProtection="1">
      <alignment horizontal="right" vertical="center" wrapText="1"/>
      <protection locked="0"/>
    </xf>
    <xf numFmtId="0" fontId="11" fillId="25" borderId="25" xfId="0" applyFont="1" applyFill="1" applyBorder="1" applyAlignment="1" applyProtection="1">
      <alignment horizontal="left" vertical="top" wrapText="1"/>
      <protection locked="0"/>
    </xf>
    <xf numFmtId="0" fontId="11" fillId="0" borderId="9" xfId="51" applyNumberFormat="1" applyFont="1" applyBorder="1" applyAlignment="1" applyProtection="1">
      <alignment horizontal="left" vertical="top"/>
      <protection/>
    </xf>
    <xf numFmtId="0" fontId="11" fillId="0" borderId="10" xfId="51" applyNumberFormat="1" applyFont="1" applyBorder="1" applyAlignment="1" applyProtection="1">
      <alignment horizontal="center" vertical="top"/>
      <protection/>
    </xf>
    <xf numFmtId="0" fontId="11" fillId="0" borderId="9" xfId="51" applyNumberFormat="1" applyFont="1" applyBorder="1" applyAlignment="1" applyProtection="1">
      <alignment vertical="top"/>
      <protection/>
    </xf>
    <xf numFmtId="0" fontId="11" fillId="0" borderId="17" xfId="0" applyNumberFormat="1" applyFont="1" applyBorder="1" applyAlignment="1" applyProtection="1">
      <alignment horizontal="justify" vertical="top" wrapText="1"/>
      <protection/>
    </xf>
    <xf numFmtId="0" fontId="7" fillId="0" borderId="20" xfId="0" applyNumberFormat="1" applyFont="1" applyBorder="1" applyAlignment="1" applyProtection="1">
      <alignment horizontal="center" vertical="top"/>
      <protection/>
    </xf>
    <xf numFmtId="0" fontId="11" fillId="0" borderId="20" xfId="0" applyNumberFormat="1" applyFont="1" applyBorder="1" applyAlignment="1" applyProtection="1">
      <alignment horizontal="justify" vertical="top"/>
      <protection/>
    </xf>
    <xf numFmtId="0" fontId="11" fillId="0" borderId="9" xfId="51" applyNumberFormat="1" applyFont="1" applyBorder="1" applyAlignment="1" applyProtection="1">
      <alignment horizontal="center" vertical="top"/>
      <protection/>
    </xf>
    <xf numFmtId="0" fontId="11" fillId="0" borderId="10" xfId="51" applyNumberFormat="1" applyFont="1" applyBorder="1" applyAlignment="1" applyProtection="1">
      <alignment horizontal="left" vertical="top"/>
      <protection/>
    </xf>
    <xf numFmtId="0" fontId="0" fillId="0" borderId="0" xfId="0" applyAlignment="1" applyProtection="1">
      <alignment/>
      <protection locked="0"/>
    </xf>
    <xf numFmtId="0" fontId="0" fillId="0" borderId="0" xfId="0" applyFont="1" applyAlignment="1" applyProtection="1">
      <alignment/>
      <protection locked="0"/>
    </xf>
    <xf numFmtId="4" fontId="11" fillId="0" borderId="19" xfId="0" applyNumberFormat="1" applyFont="1" applyBorder="1" applyAlignment="1" applyProtection="1">
      <alignment horizontal="right" vertical="center" wrapText="1"/>
      <protection locked="0"/>
    </xf>
    <xf numFmtId="0" fontId="8" fillId="0" borderId="0" xfId="0" applyFont="1" applyAlignment="1" applyProtection="1">
      <alignment/>
      <protection locked="0"/>
    </xf>
    <xf numFmtId="0" fontId="4" fillId="21" borderId="19" xfId="0" applyFont="1" applyFill="1" applyBorder="1" applyAlignment="1" applyProtection="1">
      <alignment horizontal="center" vertical="top" wrapText="1"/>
      <protection/>
    </xf>
    <xf numFmtId="0" fontId="11" fillId="0" borderId="19" xfId="0" applyFont="1" applyBorder="1" applyAlignment="1" applyProtection="1">
      <alignment horizontal="center" vertical="center" wrapText="1"/>
      <protection/>
    </xf>
    <xf numFmtId="0" fontId="11" fillId="0" borderId="19" xfId="0" applyFont="1" applyBorder="1" applyAlignment="1" applyProtection="1">
      <alignment horizontal="justify" vertical="center" wrapText="1"/>
      <protection/>
    </xf>
    <xf numFmtId="0" fontId="8" fillId="0" borderId="9" xfId="51" applyNumberFormat="1" applyFont="1" applyBorder="1" applyAlignment="1">
      <alignment horizontal="left" vertical="top"/>
      <protection/>
    </xf>
    <xf numFmtId="0" fontId="6" fillId="0" borderId="18" xfId="51" applyNumberFormat="1" applyFont="1" applyBorder="1" applyAlignment="1">
      <alignment horizontal="center" vertical="top"/>
      <protection/>
    </xf>
    <xf numFmtId="0" fontId="8" fillId="0" borderId="17" xfId="51" applyNumberFormat="1" applyFont="1" applyBorder="1" applyAlignment="1">
      <alignment horizontal="left" vertical="top"/>
      <protection/>
    </xf>
    <xf numFmtId="0" fontId="6" fillId="0" borderId="20" xfId="51" applyNumberFormat="1" applyFont="1" applyBorder="1" applyAlignment="1">
      <alignment horizontal="center" vertical="top"/>
      <protection/>
    </xf>
    <xf numFmtId="0" fontId="6" fillId="0" borderId="20" xfId="0" applyNumberFormat="1" applyFont="1" applyBorder="1" applyAlignment="1">
      <alignment horizontal="center" vertical="top"/>
    </xf>
    <xf numFmtId="0" fontId="8" fillId="22" borderId="19" xfId="0" applyFont="1" applyFill="1" applyBorder="1" applyAlignment="1" applyProtection="1">
      <alignment horizontal="center" vertical="top" wrapText="1"/>
      <protection locked="0"/>
    </xf>
    <xf numFmtId="0" fontId="11" fillId="22" borderId="19" xfId="0" applyFont="1" applyFill="1" applyBorder="1" applyAlignment="1" applyProtection="1">
      <alignment horizontal="center" vertical="top" wrapText="1"/>
      <protection locked="0"/>
    </xf>
    <xf numFmtId="0" fontId="8" fillId="0" borderId="10" xfId="51" applyNumberFormat="1" applyFont="1" applyBorder="1" applyAlignment="1">
      <alignment horizontal="left" vertical="top"/>
      <protection/>
    </xf>
    <xf numFmtId="0" fontId="8" fillId="0" borderId="17" xfId="0" applyNumberFormat="1" applyFont="1" applyBorder="1" applyAlignment="1">
      <alignment horizontal="justify" vertical="top" wrapText="1"/>
    </xf>
    <xf numFmtId="0" fontId="8" fillId="0" borderId="20" xfId="0" applyNumberFormat="1" applyFont="1" applyBorder="1" applyAlignment="1">
      <alignment horizontal="justify" vertical="top"/>
    </xf>
    <xf numFmtId="10" fontId="8" fillId="0" borderId="19" xfId="56" applyNumberFormat="1" applyFont="1" applyBorder="1" applyAlignment="1" applyProtection="1">
      <alignment horizontal="center" vertical="top" wrapText="1"/>
      <protection locked="0"/>
    </xf>
    <xf numFmtId="10" fontId="8" fillId="0" borderId="19" xfId="56" applyNumberFormat="1" applyFont="1" applyBorder="1" applyAlignment="1" applyProtection="1">
      <alignment horizontal="center" vertical="top" wrapText="1"/>
      <protection locked="0"/>
    </xf>
    <xf numFmtId="0" fontId="8" fillId="0" borderId="9" xfId="51" applyNumberFormat="1" applyFont="1" applyBorder="1" applyAlignment="1">
      <alignment horizontal="left" vertical="center"/>
      <protection/>
    </xf>
    <xf numFmtId="0" fontId="8" fillId="0" borderId="17" xfId="51" applyNumberFormat="1" applyFont="1" applyBorder="1" applyAlignment="1">
      <alignment horizontal="left" vertical="center"/>
      <protection/>
    </xf>
    <xf numFmtId="0" fontId="6" fillId="0" borderId="18" xfId="51" applyNumberFormat="1" applyFont="1" applyBorder="1" applyAlignment="1">
      <alignment horizontal="center" vertical="center"/>
      <protection/>
    </xf>
    <xf numFmtId="0" fontId="6" fillId="0" borderId="20" xfId="51" applyNumberFormat="1" applyFont="1" applyBorder="1" applyAlignment="1">
      <alignment horizontal="center" vertical="center"/>
      <protection/>
    </xf>
    <xf numFmtId="0" fontId="8" fillId="0" borderId="17" xfId="0" applyNumberFormat="1" applyFont="1" applyBorder="1" applyAlignment="1">
      <alignment horizontal="justify" vertical="center"/>
    </xf>
    <xf numFmtId="0" fontId="8" fillId="0" borderId="20" xfId="0" applyNumberFormat="1" applyFont="1" applyBorder="1" applyAlignment="1">
      <alignment horizontal="justify" vertical="center"/>
    </xf>
    <xf numFmtId="0" fontId="6" fillId="0" borderId="20" xfId="0" applyNumberFormat="1" applyFont="1" applyBorder="1" applyAlignment="1">
      <alignment horizontal="center" vertical="center"/>
    </xf>
    <xf numFmtId="10" fontId="14" fillId="27" borderId="26" xfId="56" applyNumberFormat="1" applyFont="1" applyFill="1" applyBorder="1" applyAlignment="1" applyProtection="1">
      <alignment horizontal="right" vertical="top" wrapText="1"/>
      <protection/>
    </xf>
    <xf numFmtId="10" fontId="14" fillId="27" borderId="26" xfId="56" applyNumberFormat="1" applyFont="1" applyFill="1" applyBorder="1" applyAlignment="1" applyProtection="1">
      <alignment horizontal="right" vertical="top" wrapText="1"/>
      <protection/>
    </xf>
    <xf numFmtId="166" fontId="6" fillId="27" borderId="27" xfId="58" applyFont="1" applyFill="1" applyBorder="1" applyAlignment="1" applyProtection="1">
      <alignment horizontal="right" vertical="top" wrapText="1"/>
      <protection/>
    </xf>
    <xf numFmtId="166" fontId="6" fillId="27" borderId="27" xfId="58" applyFont="1" applyFill="1" applyBorder="1" applyAlignment="1" applyProtection="1">
      <alignment horizontal="right" vertical="top" wrapText="1"/>
      <protection/>
    </xf>
    <xf numFmtId="10" fontId="7" fillId="12" borderId="26" xfId="48" applyNumberFormat="1" applyFont="1" applyFill="1" applyBorder="1" applyAlignment="1">
      <alignment vertical="center" wrapText="1"/>
      <protection/>
    </xf>
    <xf numFmtId="4" fontId="7" fillId="12" borderId="27" xfId="48" applyNumberFormat="1" applyFont="1" applyFill="1" applyBorder="1" applyAlignment="1">
      <alignment horizontal="right" vertical="center" wrapText="1"/>
      <protection/>
    </xf>
    <xf numFmtId="10" fontId="15" fillId="0" borderId="26" xfId="55" applyNumberFormat="1" applyFont="1" applyBorder="1" applyAlignment="1">
      <alignment horizontal="right" vertical="center" wrapText="1"/>
    </xf>
    <xf numFmtId="166" fontId="11" fillId="0" borderId="27" xfId="58" applyFont="1" applyBorder="1" applyAlignment="1">
      <alignment horizontal="right" vertical="center" wrapText="1"/>
    </xf>
    <xf numFmtId="10" fontId="14" fillId="28" borderId="26" xfId="56" applyNumberFormat="1" applyFont="1" applyFill="1" applyBorder="1" applyAlignment="1" applyProtection="1">
      <alignment horizontal="right" vertical="top" wrapText="1"/>
      <protection/>
    </xf>
    <xf numFmtId="4" fontId="7" fillId="3" borderId="27" xfId="48" applyNumberFormat="1" applyFont="1" applyFill="1" applyBorder="1" applyAlignment="1">
      <alignment horizontal="right" vertical="center" wrapText="1"/>
      <protection/>
    </xf>
    <xf numFmtId="10" fontId="15" fillId="0" borderId="26" xfId="55" applyNumberFormat="1" applyFont="1" applyBorder="1" applyAlignment="1" applyProtection="1">
      <alignment horizontal="right" vertical="center" wrapText="1"/>
      <protection locked="0"/>
    </xf>
    <xf numFmtId="166" fontId="11" fillId="0" borderId="27" xfId="58" applyFont="1" applyBorder="1" applyAlignment="1" applyProtection="1">
      <alignment horizontal="right" vertical="center" wrapText="1"/>
      <protection locked="0"/>
    </xf>
    <xf numFmtId="0" fontId="8" fillId="0" borderId="9" xfId="51" applyNumberFormat="1" applyFont="1" applyBorder="1" applyAlignment="1" applyProtection="1">
      <alignment horizontal="left" vertical="top"/>
      <protection/>
    </xf>
    <xf numFmtId="0" fontId="8" fillId="0" borderId="17" xfId="51" applyNumberFormat="1" applyFont="1" applyBorder="1" applyAlignment="1" applyProtection="1">
      <alignment horizontal="left" vertical="top"/>
      <protection/>
    </xf>
    <xf numFmtId="0" fontId="6" fillId="0" borderId="18" xfId="51" applyNumberFormat="1" applyFont="1" applyBorder="1" applyAlignment="1" applyProtection="1">
      <alignment horizontal="center" vertical="top"/>
      <protection/>
    </xf>
    <xf numFmtId="0" fontId="6" fillId="0" borderId="20" xfId="0" applyNumberFormat="1" applyFont="1" applyBorder="1" applyAlignment="1" applyProtection="1">
      <alignment horizontal="center" vertical="top"/>
      <protection/>
    </xf>
    <xf numFmtId="0" fontId="8" fillId="0" borderId="23" xfId="51" applyNumberFormat="1" applyFont="1" applyBorder="1" applyAlignment="1" applyProtection="1">
      <alignment horizontal="left" vertical="top"/>
      <protection/>
    </xf>
    <xf numFmtId="0" fontId="8" fillId="0" borderId="28" xfId="51" applyFont="1" applyBorder="1" applyAlignment="1" applyProtection="1">
      <alignment horizontal="left" vertical="top"/>
      <protection/>
    </xf>
    <xf numFmtId="164" fontId="6" fillId="0" borderId="20" xfId="51" applyNumberFormat="1" applyFont="1" applyBorder="1" applyAlignment="1" applyProtection="1">
      <alignment horizontal="center" vertical="top"/>
      <protection/>
    </xf>
    <xf numFmtId="0" fontId="6" fillId="0" borderId="20" xfId="51" applyNumberFormat="1" applyFont="1" applyBorder="1" applyAlignment="1" applyProtection="1">
      <alignment horizontal="center" vertical="top"/>
      <protection/>
    </xf>
    <xf numFmtId="0" fontId="12" fillId="0" borderId="0" xfId="0" applyFont="1" applyBorder="1" applyAlignment="1" applyProtection="1">
      <alignment horizontal="center" vertical="top" wrapText="1"/>
      <protection/>
    </xf>
    <xf numFmtId="0" fontId="4" fillId="21" borderId="19" xfId="0" applyFont="1" applyFill="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8" fillId="22" borderId="19" xfId="0" applyFont="1" applyFill="1" applyBorder="1" applyAlignment="1" applyProtection="1">
      <alignment horizontal="justify" vertical="top" wrapText="1"/>
      <protection/>
    </xf>
    <xf numFmtId="0" fontId="8" fillId="22" borderId="19" xfId="0" applyFont="1" applyFill="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22" borderId="0" xfId="0" applyFont="1" applyFill="1" applyBorder="1" applyAlignment="1" applyProtection="1">
      <alignment horizontal="center" vertical="top" wrapText="1"/>
      <protection/>
    </xf>
    <xf numFmtId="0" fontId="0" fillId="0" borderId="0" xfId="0" applyFont="1" applyAlignment="1" applyProtection="1">
      <alignment/>
      <protection/>
    </xf>
    <xf numFmtId="0" fontId="11" fillId="0" borderId="19" xfId="48" applyFont="1" applyBorder="1" applyAlignment="1">
      <alignment horizontal="justify" vertical="center" wrapText="1"/>
      <protection/>
    </xf>
    <xf numFmtId="0" fontId="7" fillId="0" borderId="28" xfId="50" applyFont="1" applyBorder="1" applyAlignment="1" applyProtection="1">
      <alignment horizontal="center" vertical="top"/>
      <protection locked="0"/>
    </xf>
    <xf numFmtId="0" fontId="7" fillId="0" borderId="20" xfId="51" applyNumberFormat="1" applyFont="1" applyBorder="1" applyAlignment="1" applyProtection="1">
      <alignment horizontal="center" vertical="top"/>
      <protection/>
    </xf>
    <xf numFmtId="164" fontId="7" fillId="0" borderId="20" xfId="51" applyNumberFormat="1" applyFont="1" applyBorder="1" applyAlignment="1" applyProtection="1">
      <alignment horizontal="center" vertical="top"/>
      <protection/>
    </xf>
    <xf numFmtId="0" fontId="4" fillId="29" borderId="29" xfId="53" applyFont="1" applyFill="1" applyBorder="1" applyAlignment="1">
      <alignment horizontal="center"/>
      <protection/>
    </xf>
    <xf numFmtId="0" fontId="8" fillId="0" borderId="17" xfId="0" applyFont="1" applyBorder="1" applyAlignment="1" applyProtection="1">
      <alignment horizontal="center" vertical="top"/>
      <protection locked="0"/>
    </xf>
    <xf numFmtId="0" fontId="8" fillId="0" borderId="28" xfId="0" applyFont="1" applyBorder="1" applyAlignment="1" applyProtection="1">
      <alignment horizontal="center" vertical="top"/>
      <protection locked="0"/>
    </xf>
    <xf numFmtId="0" fontId="8" fillId="0" borderId="20" xfId="0" applyFont="1" applyBorder="1" applyAlignment="1" applyProtection="1">
      <alignment horizontal="center" vertical="top"/>
      <protection locked="0"/>
    </xf>
    <xf numFmtId="0" fontId="12" fillId="22" borderId="30" xfId="0" applyFont="1" applyFill="1" applyBorder="1" applyAlignment="1">
      <alignment horizontal="center" wrapText="1"/>
    </xf>
    <xf numFmtId="167" fontId="6" fillId="21" borderId="0" xfId="58" applyNumberFormat="1" applyFont="1" applyFill="1" applyBorder="1" applyAlignment="1" applyProtection="1">
      <alignment vertical="center" wrapText="1"/>
      <protection/>
    </xf>
    <xf numFmtId="0" fontId="6" fillId="21" borderId="1" xfId="0" applyFont="1" applyFill="1" applyBorder="1" applyAlignment="1">
      <alignment horizontal="center" vertical="center" wrapText="1"/>
    </xf>
    <xf numFmtId="9" fontId="6" fillId="21" borderId="1" xfId="56" applyFont="1" applyFill="1" applyBorder="1" applyAlignment="1" applyProtection="1">
      <alignment horizontal="center" vertical="center" wrapText="1"/>
      <protection locked="0"/>
    </xf>
    <xf numFmtId="0" fontId="7" fillId="0" borderId="20" xfId="50" applyFont="1" applyBorder="1" applyAlignment="1" applyProtection="1">
      <alignment horizontal="center" vertical="top"/>
      <protection locked="0"/>
    </xf>
    <xf numFmtId="0" fontId="7" fillId="0" borderId="20" xfId="51" applyFont="1" applyBorder="1" applyAlignment="1" applyProtection="1">
      <alignment horizontal="center" vertical="top"/>
      <protection locked="0"/>
    </xf>
    <xf numFmtId="0" fontId="12" fillId="0" borderId="0" xfId="0" applyFont="1" applyBorder="1" applyAlignment="1">
      <alignment horizontal="center" vertical="center" wrapText="1"/>
    </xf>
    <xf numFmtId="17" fontId="11" fillId="0" borderId="17" xfId="51" applyNumberFormat="1" applyFont="1" applyBorder="1" applyAlignment="1">
      <alignment horizontal="justify" vertical="top"/>
      <protection/>
    </xf>
    <xf numFmtId="0" fontId="7" fillId="0" borderId="17" xfId="50" applyFont="1" applyBorder="1" applyAlignment="1" applyProtection="1">
      <alignment horizontal="center" vertical="top"/>
      <protection locked="0"/>
    </xf>
    <xf numFmtId="164" fontId="7" fillId="0" borderId="20" xfId="50" applyNumberFormat="1" applyFont="1" applyBorder="1" applyAlignment="1" applyProtection="1">
      <alignment horizontal="center" vertical="top"/>
      <protection locked="0"/>
    </xf>
    <xf numFmtId="0" fontId="12" fillId="0" borderId="0" xfId="0" applyFont="1" applyBorder="1" applyAlignment="1" applyProtection="1">
      <alignment horizontal="center" vertical="center" wrapText="1"/>
      <protection/>
    </xf>
    <xf numFmtId="0" fontId="12" fillId="0" borderId="31" xfId="0" applyFont="1" applyBorder="1" applyAlignment="1" applyProtection="1">
      <alignment horizontal="center" wrapText="1"/>
      <protection/>
    </xf>
    <xf numFmtId="0" fontId="6" fillId="0" borderId="20" xfId="0" applyNumberFormat="1" applyFont="1" applyBorder="1" applyAlignment="1" applyProtection="1">
      <alignment horizontal="center" vertical="top"/>
      <protection/>
    </xf>
    <xf numFmtId="0" fontId="12" fillId="22" borderId="0" xfId="0" applyFont="1" applyFill="1" applyBorder="1" applyAlignment="1" applyProtection="1">
      <alignment horizontal="center" wrapText="1"/>
      <protection/>
    </xf>
    <xf numFmtId="0" fontId="4" fillId="21" borderId="19" xfId="0" applyFont="1" applyFill="1" applyBorder="1" applyAlignment="1" applyProtection="1">
      <alignment horizontal="center" vertical="center" wrapText="1"/>
      <protection/>
    </xf>
    <xf numFmtId="0" fontId="4" fillId="21" borderId="19" xfId="0" applyFont="1" applyFill="1" applyBorder="1" applyAlignment="1" applyProtection="1">
      <alignment horizontal="center" vertical="top" wrapText="1"/>
      <protection/>
    </xf>
    <xf numFmtId="0" fontId="8" fillId="0" borderId="17" xfId="0" applyNumberFormat="1" applyFont="1" applyBorder="1" applyAlignment="1" applyProtection="1">
      <alignment horizontal="justify" vertical="top"/>
      <protection/>
    </xf>
    <xf numFmtId="0" fontId="8" fillId="0" borderId="20" xfId="0" applyNumberFormat="1" applyFont="1" applyBorder="1" applyAlignment="1" applyProtection="1">
      <alignment horizontal="justify" vertical="top"/>
      <protection/>
    </xf>
    <xf numFmtId="0" fontId="8" fillId="0" borderId="17" xfId="0" applyNumberFormat="1" applyFont="1" applyBorder="1" applyAlignment="1" applyProtection="1">
      <alignment horizontal="left" vertical="top"/>
      <protection/>
    </xf>
    <xf numFmtId="0" fontId="6" fillId="21" borderId="32" xfId="62" applyFont="1" applyFill="1" applyBorder="1" applyAlignment="1">
      <alignment horizontal="justify" vertical="distributed" wrapText="1"/>
      <protection/>
    </xf>
    <xf numFmtId="0" fontId="4" fillId="21" borderId="19" xfId="48" applyFont="1" applyFill="1" applyBorder="1" applyAlignment="1">
      <alignment horizontal="center" vertical="top"/>
      <protection/>
    </xf>
    <xf numFmtId="0" fontId="6" fillId="20" borderId="32" xfId="62" applyFont="1" applyFill="1" applyBorder="1" applyAlignment="1">
      <alignment horizontal="justify" vertical="distributed" wrapText="1"/>
      <protection/>
    </xf>
    <xf numFmtId="0" fontId="6" fillId="24" borderId="32" xfId="62" applyFont="1" applyFill="1" applyBorder="1" applyAlignment="1">
      <alignment horizontal="justify" vertical="distributed" wrapText="1"/>
      <protection/>
    </xf>
    <xf numFmtId="0" fontId="6" fillId="0" borderId="20" xfId="51" applyNumberFormat="1" applyFont="1" applyBorder="1" applyAlignment="1">
      <alignment horizontal="center" vertical="top"/>
      <protection/>
    </xf>
    <xf numFmtId="0" fontId="13" fillId="0" borderId="30" xfId="48" applyFont="1" applyBorder="1" applyAlignment="1">
      <alignment horizontal="center" vertical="center" wrapText="1"/>
      <protection/>
    </xf>
    <xf numFmtId="0" fontId="6" fillId="21" borderId="21" xfId="62" applyFont="1" applyFill="1" applyBorder="1" applyAlignment="1">
      <alignment horizontal="center" vertical="distributed" wrapText="1"/>
      <protection/>
    </xf>
    <xf numFmtId="0" fontId="6" fillId="24" borderId="19" xfId="62" applyFont="1" applyFill="1" applyBorder="1" applyAlignment="1">
      <alignment horizontal="center" vertical="distributed" wrapText="1"/>
      <protection/>
    </xf>
    <xf numFmtId="0" fontId="13" fillId="0" borderId="30" xfId="62" applyFont="1" applyBorder="1" applyAlignment="1">
      <alignment horizontal="center" vertical="center"/>
      <protection/>
    </xf>
    <xf numFmtId="0" fontId="11" fillId="0" borderId="26" xfId="0" applyFont="1" applyBorder="1" applyAlignment="1">
      <alignment horizontal="justify" vertical="center" wrapText="1"/>
    </xf>
    <xf numFmtId="0" fontId="11" fillId="0" borderId="27" xfId="0" applyFont="1" applyBorder="1" applyAlignment="1">
      <alignment horizontal="justify" vertical="center" wrapText="1"/>
    </xf>
    <xf numFmtId="0" fontId="7" fillId="25" borderId="26" xfId="48" applyFont="1" applyFill="1" applyBorder="1" applyAlignment="1">
      <alignment vertical="center" wrapText="1"/>
      <protection/>
    </xf>
    <xf numFmtId="0" fontId="7" fillId="25" borderId="27" xfId="48" applyFont="1" applyFill="1" applyBorder="1" applyAlignment="1">
      <alignment vertical="center" wrapText="1"/>
      <protection/>
    </xf>
    <xf numFmtId="0" fontId="11" fillId="0" borderId="19" xfId="0" applyFont="1" applyBorder="1" applyAlignment="1">
      <alignment horizontal="justify" vertical="center" wrapText="1"/>
    </xf>
    <xf numFmtId="0" fontId="6" fillId="22" borderId="33" xfId="0" applyFont="1" applyFill="1" applyBorder="1" applyAlignment="1">
      <alignment horizontal="right" vertical="top" wrapText="1"/>
    </xf>
    <xf numFmtId="0" fontId="6" fillId="22" borderId="31" xfId="0" applyFont="1" applyFill="1" applyBorder="1" applyAlignment="1">
      <alignment horizontal="right" vertical="top" wrapText="1"/>
    </xf>
    <xf numFmtId="0" fontId="6" fillId="22" borderId="0" xfId="0" applyFont="1" applyFill="1" applyBorder="1" applyAlignment="1">
      <alignment horizontal="right" vertical="top" wrapText="1"/>
    </xf>
    <xf numFmtId="0" fontId="6" fillId="24" borderId="19" xfId="0" applyFont="1" applyFill="1" applyBorder="1" applyAlignment="1">
      <alignment horizontal="right" vertical="top" wrapText="1"/>
    </xf>
    <xf numFmtId="0" fontId="6" fillId="27" borderId="19" xfId="0" applyFont="1" applyFill="1" applyBorder="1" applyAlignment="1" quotePrefix="1">
      <alignment horizontal="justify" vertical="center" wrapText="1"/>
    </xf>
    <xf numFmtId="0" fontId="6" fillId="27" borderId="19" xfId="0" applyFont="1" applyFill="1" applyBorder="1" applyAlignment="1">
      <alignment horizontal="justify" vertical="center" wrapText="1"/>
    </xf>
    <xf numFmtId="0" fontId="7" fillId="25" borderId="26" xfId="48" applyFont="1" applyFill="1" applyBorder="1" applyAlignment="1">
      <alignment horizontal="justify" vertical="center" wrapText="1"/>
      <protection/>
    </xf>
    <xf numFmtId="0" fontId="7" fillId="25" borderId="27" xfId="48" applyFont="1" applyFill="1" applyBorder="1" applyAlignment="1">
      <alignment horizontal="justify" vertical="center" wrapText="1"/>
      <protection/>
    </xf>
    <xf numFmtId="0" fontId="6" fillId="27" borderId="19" xfId="0" applyFont="1" applyFill="1" applyBorder="1" applyAlignment="1">
      <alignment vertical="center" wrapText="1"/>
    </xf>
    <xf numFmtId="0" fontId="6" fillId="22" borderId="29" xfId="0" applyNumberFormat="1" applyFont="1" applyFill="1" applyBorder="1" applyAlignment="1" applyProtection="1">
      <alignment horizontal="center" vertical="center"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rmal_Orç 041_2009 Adaptação Copa PJ Ceilândia" xfId="50"/>
    <cellStyle name="Normal_Orç 041_2009 Adaptação Copa PJ Ceilândia_Orçamento Sintético" xfId="51"/>
    <cellStyle name="Normal_Orç 041_2009 Adaptação Copa PJ Ceilândia_Plan1" xfId="52"/>
    <cellStyle name="Normal_Plan1_1 2" xfId="53"/>
    <cellStyle name="Nota" xfId="54"/>
    <cellStyle name="Percent" xfId="55"/>
    <cellStyle name="Porcentagem 2" xfId="56"/>
    <cellStyle name="Saída" xfId="57"/>
    <cellStyle name="Comma" xfId="58"/>
    <cellStyle name="Comma [0]" xfId="59"/>
    <cellStyle name="Texto de Aviso" xfId="60"/>
    <cellStyle name="Texto Explicativo" xfId="61"/>
    <cellStyle name="Texto Explicativo 2" xfId="62"/>
    <cellStyle name="Título" xfId="63"/>
    <cellStyle name="Título 1" xfId="64"/>
    <cellStyle name="Título 2" xfId="65"/>
    <cellStyle name="Título 3" xfId="66"/>
    <cellStyle name="Título 4" xfId="67"/>
    <cellStyle name="Total" xfId="68"/>
  </cellStyles>
  <dxfs count="1026">
    <dxf>
      <font>
        <name val="Arial"/>
        <color rgb="FFFFFF00"/>
      </font>
    </dxf>
    <dxf>
      <font>
        <name val="Arial"/>
        <color rgb="FFFFFF00"/>
      </font>
    </dxf>
    <dxf>
      <font>
        <name val="Arial"/>
        <color rgb="FFD8ECF6"/>
      </font>
    </dxf>
    <dxf>
      <font>
        <color theme="5" tint="0.3999499976634979"/>
      </font>
    </dxf>
    <dxf>
      <font>
        <name val="Arial"/>
        <color theme="5" tint="0.3999499976634979"/>
      </font>
    </dxf>
    <dxf/>
    <dxf>
      <font>
        <color theme="0"/>
      </font>
    </dxf>
    <dxf/>
    <dxf>
      <font>
        <color theme="0"/>
      </font>
    </dxf>
    <dxf/>
    <dxf>
      <font>
        <color theme="0"/>
      </font>
    </dxf>
    <dxf/>
    <dxf>
      <font>
        <color theme="0"/>
      </font>
    </dxf>
    <dxf/>
    <dxf>
      <font>
        <color theme="0"/>
      </font>
    </dxf>
    <dxf/>
    <dxf>
      <font>
        <color theme="0"/>
      </font>
    </dxf>
    <dxf>
      <font>
        <name val="Arial"/>
        <color rgb="FFFFFF00"/>
      </font>
    </dxf>
    <dxf>
      <font>
        <name val="Arial"/>
        <color rgb="FFFFFF00"/>
      </font>
    </dxf>
    <dxf>
      <font>
        <name val="Arial"/>
        <color rgb="FFD8ECF6"/>
      </font>
    </dxf>
    <dxf>
      <font>
        <color theme="5" tint="0.3999499976634979"/>
      </font>
    </dxf>
    <dxf>
      <font>
        <name val="Arial"/>
        <color theme="5" tint="0.3999499976634979"/>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name val="Arial"/>
        <color rgb="FFFFFF00"/>
      </font>
    </dxf>
    <dxf>
      <font>
        <name val="Arial"/>
        <color rgb="FFFFFF0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font>
        <name val="Arial"/>
        <color rgb="FFFFFF00"/>
      </font>
    </dxf>
    <dxf>
      <font>
        <name val="Arial"/>
        <color rgb="FFFFFF0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dxf>
      <font>
        <color theme="0"/>
      </font>
    </dxf>
    <dxf/>
    <dxf>
      <font>
        <color theme="0"/>
      </font>
    </dxf>
    <dxf/>
    <dxf>
      <font>
        <color theme="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font>
        <name val="Arial"/>
        <color rgb="FFFFFF00"/>
      </font>
    </dxf>
    <dxf>
      <font>
        <name val="Arial"/>
        <color rgb="FFFFFF0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font>
        <name val="Arial"/>
        <color rgb="FFFFFF00"/>
      </font>
    </dxf>
    <dxf>
      <font>
        <name val="Arial"/>
        <color rgb="FFFFFF00"/>
      </font>
    </dxf>
    <dxf>
      <font>
        <name val="Arial"/>
        <color rgb="FFD8ECF6"/>
      </font>
    </dxf>
    <dxf>
      <font>
        <color theme="5" tint="0.3999499976634979"/>
      </font>
    </dxf>
    <dxf>
      <font>
        <name val="Arial"/>
        <color theme="5" tint="0.3999499976634979"/>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color theme="5" tint="0.7999799847602844"/>
      </font>
    </dxf>
    <dxf>
      <font>
        <color theme="5" tint="0.7999799847602844"/>
      </font>
    </dxf>
    <dxf/>
    <dxf>
      <font>
        <color theme="0"/>
      </font>
    </dxf>
    <dxf/>
    <dxf>
      <font>
        <color theme="0"/>
      </font>
    </dxf>
    <dxf/>
    <dxf>
      <font>
        <color theme="0"/>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name val="Arial"/>
        <color rgb="FFFFFF00"/>
      </font>
    </dxf>
    <dxf>
      <font>
        <name val="Arial"/>
        <color rgb="FFFFFF00"/>
      </font>
    </dxf>
    <dxf>
      <font>
        <name val="Arial"/>
        <color rgb="FFD8ECF6"/>
      </font>
    </dxf>
    <dxf>
      <font>
        <color theme="5" tint="0.3999499976634979"/>
      </font>
    </dxf>
    <dxf>
      <font>
        <name val="Arial"/>
        <color theme="5" tint="0.3999499976634979"/>
      </font>
    </dxf>
    <dxf>
      <font>
        <color theme="5" tint="0.7999799847602844"/>
      </font>
    </dxf>
    <dxf>
      <font>
        <color theme="5" tint="0.7999799847602844"/>
      </font>
    </dxf>
    <dxf>
      <font>
        <color theme="5" tint="0.7999799847602844"/>
      </font>
    </dxf>
    <dxf>
      <font>
        <color theme="5" tint="0.7999799847602844"/>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name val="Arial"/>
        <color rgb="FFD8ECF6"/>
      </font>
    </dxf>
    <dxf>
      <font>
        <color theme="5" tint="0.7999799847602844"/>
      </font>
    </dxf>
    <dxf>
      <font>
        <color theme="5" tint="0.7999799847602844"/>
      </font>
    </dxf>
    <dxf>
      <font>
        <color theme="5" tint="0.3999499976634979"/>
      </font>
    </dxf>
    <dxf>
      <font>
        <name val="Arial"/>
        <color theme="5" tint="0.3999499976634979"/>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dxf>
      <font>
        <color theme="0"/>
      </font>
    </dxf>
    <dxf>
      <font>
        <name val="Arial"/>
        <color rgb="FFD8ECF6"/>
      </font>
    </dxf>
    <dxf>
      <font>
        <color theme="5" tint="0.7999799847602844"/>
      </font>
    </dxf>
    <dxf>
      <font>
        <color theme="5" tint="0.7999799847602844"/>
      </font>
    </dxf>
    <dxf>
      <font>
        <color theme="5" tint="0.3999499976634979"/>
      </font>
    </dxf>
    <dxf>
      <font>
        <name val="Arial"/>
        <color theme="5" tint="0.3999499976634979"/>
      </font>
    </dxf>
    <dxf>
      <font>
        <name val="Arial"/>
        <color rgb="FFFFFF00"/>
      </font>
    </dxf>
    <dxf>
      <font>
        <name val="Arial"/>
        <color rgb="FFFFFF00"/>
      </font>
    </dxf>
    <dxf/>
    <dxf>
      <font>
        <color theme="0"/>
      </font>
    </dxf>
    <dxf/>
    <dxf>
      <font>
        <color theme="0"/>
      </font>
    </dxf>
    <dxf/>
    <dxf>
      <font>
        <color theme="0"/>
      </font>
    </dxf>
    <dxf>
      <font>
        <color theme="5" tint="0.3999499976634979"/>
      </font>
    </dxf>
    <dxf>
      <font>
        <name val="Arial"/>
        <color theme="5" tint="0.3999499976634979"/>
      </font>
    </dxf>
    <dxf>
      <font>
        <name val="Arial"/>
        <color rgb="FFD8ECF6"/>
      </font>
    </dxf>
    <dxf>
      <font>
        <name val="Arial"/>
        <color rgb="FFFFFF00"/>
      </font>
    </dxf>
    <dxf>
      <font>
        <name val="Arial"/>
        <color rgb="FFFFFF00"/>
      </font>
    </dxf>
    <dxf>
      <fill>
        <gradientFill degree="90">
          <stop position="0">
            <color theme="0" tint="-0.0509600006043911"/>
          </stop>
          <stop position="1">
            <color theme="0" tint="-0.14901000261306763"/>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2F2F2"/>
      <rgbColor rgb="00D9D9D9"/>
      <rgbColor rgb="00993366"/>
      <rgbColor rgb="00FFF8E5"/>
      <rgbColor rgb="00D8ECF6"/>
      <rgbColor rgb="00660066"/>
      <rgbColor rgb="00E5E5E5"/>
      <rgbColor rgb="000066CC"/>
      <rgbColor rgb="00CCCCCC"/>
      <rgbColor rgb="00000080"/>
      <rgbColor rgb="00FF00FF"/>
      <rgbColor rgb="00FDF2EA"/>
      <rgbColor rgb="00FAFAFA"/>
      <rgbColor rgb="00800080"/>
      <rgbColor rgb="00800000"/>
      <rgbColor rgb="00008080"/>
      <rgbColor rgb="000000FF"/>
      <rgbColor rgb="0000CCFF"/>
      <rgbColor rgb="00DEEBF7"/>
      <rgbColor rgb="00E2F0D9"/>
      <rgbColor rgb="00FFF2CC"/>
      <rgbColor rgb="00B4C7DC"/>
      <rgbColor rgb="00F4B183"/>
      <rgbColor rgb="00BFBFBF"/>
      <rgbColor rgb="00F9D8C1"/>
      <rgbColor rgb="003366FF"/>
      <rgbColor rgb="00DAE3F3"/>
      <rgbColor rgb="00E7E6E6"/>
      <rgbColor rgb="00FBE5D6"/>
      <rgbColor rgb="00EFEFEF"/>
      <rgbColor rgb="00FF6600"/>
      <rgbColor rgb="00666699"/>
      <rgbColor rgb="00DDDDDD"/>
      <rgbColor rgb="00003366"/>
      <rgbColor rgb="00339966"/>
      <rgbColor rgb="00003300"/>
      <rgbColor rgb="00333300"/>
      <rgbColor rgb="00C9211E"/>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3"/>
  <sheetViews>
    <sheetView showGridLines="0" zoomScalePageLayoutView="0" workbookViewId="0" topLeftCell="A1">
      <selection activeCell="A1" sqref="A1:B1"/>
    </sheetView>
  </sheetViews>
  <sheetFormatPr defaultColWidth="8.7109375" defaultRowHeight="12.75"/>
  <cols>
    <col min="2" max="2" width="73.8515625" style="0" customWidth="1"/>
  </cols>
  <sheetData>
    <row r="1" spans="1:2" ht="12.75">
      <c r="A1" s="193" t="s">
        <v>56</v>
      </c>
      <c r="B1" s="193"/>
    </row>
    <row r="2" spans="1:2" ht="12.75">
      <c r="A2" s="1"/>
      <c r="B2" s="2"/>
    </row>
    <row r="3" spans="1:2" ht="12.75">
      <c r="A3" s="3"/>
      <c r="B3" s="4" t="s">
        <v>57</v>
      </c>
    </row>
    <row r="4" spans="1:2" ht="33.75">
      <c r="A4" s="5">
        <v>1</v>
      </c>
      <c r="B4" s="6" t="s">
        <v>58</v>
      </c>
    </row>
    <row r="5" spans="1:2" ht="12.75">
      <c r="A5" s="5">
        <v>2</v>
      </c>
      <c r="B5" s="6" t="s">
        <v>59</v>
      </c>
    </row>
    <row r="6" spans="1:2" ht="22.5">
      <c r="A6" s="5" t="s">
        <v>60</v>
      </c>
      <c r="B6" s="6" t="s">
        <v>61</v>
      </c>
    </row>
    <row r="7" spans="1:2" ht="22.5">
      <c r="A7" s="5" t="s">
        <v>62</v>
      </c>
      <c r="B7" s="6" t="s">
        <v>63</v>
      </c>
    </row>
    <row r="8" spans="1:2" ht="33.75">
      <c r="A8" s="5" t="s">
        <v>64</v>
      </c>
      <c r="B8" s="6" t="s">
        <v>65</v>
      </c>
    </row>
    <row r="9" spans="1:2" ht="22.5">
      <c r="A9" s="5" t="s">
        <v>66</v>
      </c>
      <c r="B9" s="6" t="s">
        <v>1227</v>
      </c>
    </row>
    <row r="10" spans="1:2" ht="22.5">
      <c r="A10" s="5" t="s">
        <v>67</v>
      </c>
      <c r="B10" s="6" t="s">
        <v>68</v>
      </c>
    </row>
    <row r="11" spans="1:2" ht="12.75">
      <c r="A11" s="7" t="s">
        <v>69</v>
      </c>
      <c r="B11" s="8" t="s">
        <v>70</v>
      </c>
    </row>
    <row r="12" spans="1:2" ht="22.5">
      <c r="A12" s="5" t="s">
        <v>71</v>
      </c>
      <c r="B12" s="6" t="s">
        <v>72</v>
      </c>
    </row>
    <row r="13" spans="1:2" ht="33.75">
      <c r="A13" s="5" t="s">
        <v>73</v>
      </c>
      <c r="B13" s="6" t="s">
        <v>74</v>
      </c>
    </row>
    <row r="14" spans="1:2" ht="12.75">
      <c r="A14" s="7" t="s">
        <v>75</v>
      </c>
      <c r="B14" s="8" t="s">
        <v>76</v>
      </c>
    </row>
    <row r="15" spans="1:2" ht="22.5">
      <c r="A15" s="5" t="s">
        <v>77</v>
      </c>
      <c r="B15" s="6" t="s">
        <v>78</v>
      </c>
    </row>
    <row r="16" spans="1:2" ht="22.5">
      <c r="A16" s="5" t="s">
        <v>79</v>
      </c>
      <c r="B16" s="6" t="s">
        <v>80</v>
      </c>
    </row>
    <row r="17" spans="1:2" ht="22.5">
      <c r="A17" s="5" t="s">
        <v>81</v>
      </c>
      <c r="B17" s="6" t="s">
        <v>82</v>
      </c>
    </row>
    <row r="18" spans="1:2" ht="12.75">
      <c r="A18" s="7" t="s">
        <v>83</v>
      </c>
      <c r="B18" s="8" t="s">
        <v>84</v>
      </c>
    </row>
    <row r="19" spans="1:2" ht="12.75">
      <c r="A19" s="5" t="s">
        <v>85</v>
      </c>
      <c r="B19" s="6" t="s">
        <v>86</v>
      </c>
    </row>
    <row r="20" spans="1:2" ht="22.5">
      <c r="A20" s="5" t="s">
        <v>87</v>
      </c>
      <c r="B20" s="6" t="s">
        <v>88</v>
      </c>
    </row>
    <row r="21" spans="1:2" ht="33.75">
      <c r="A21" s="5" t="s">
        <v>89</v>
      </c>
      <c r="B21" s="6" t="s">
        <v>90</v>
      </c>
    </row>
    <row r="22" spans="1:2" ht="12.75">
      <c r="A22" s="7" t="s">
        <v>91</v>
      </c>
      <c r="B22" s="8" t="s">
        <v>92</v>
      </c>
    </row>
    <row r="23" spans="1:2" ht="22.5">
      <c r="A23" s="5" t="s">
        <v>93</v>
      </c>
      <c r="B23" s="6" t="s">
        <v>94</v>
      </c>
    </row>
    <row r="24" spans="1:2" ht="12.75">
      <c r="A24" s="7" t="s">
        <v>95</v>
      </c>
      <c r="B24" s="8" t="s">
        <v>96</v>
      </c>
    </row>
    <row r="25" spans="1:2" ht="45">
      <c r="A25" s="5" t="s">
        <v>97</v>
      </c>
      <c r="B25" s="6" t="s">
        <v>98</v>
      </c>
    </row>
    <row r="26" spans="1:2" ht="33.75">
      <c r="A26" s="5" t="s">
        <v>99</v>
      </c>
      <c r="B26" s="6" t="s">
        <v>100</v>
      </c>
    </row>
    <row r="27" spans="1:2" ht="12.75">
      <c r="A27" s="5" t="s">
        <v>101</v>
      </c>
      <c r="B27" s="6" t="s">
        <v>102</v>
      </c>
    </row>
    <row r="28" spans="1:2" ht="12.75">
      <c r="A28" s="7" t="s">
        <v>103</v>
      </c>
      <c r="B28" s="8" t="s">
        <v>104</v>
      </c>
    </row>
    <row r="29" spans="1:2" ht="12.75">
      <c r="A29" s="5" t="s">
        <v>105</v>
      </c>
      <c r="B29" s="6" t="s">
        <v>106</v>
      </c>
    </row>
    <row r="30" spans="1:2" ht="12.75">
      <c r="A30" s="9" t="s">
        <v>107</v>
      </c>
      <c r="B30" s="10" t="s">
        <v>108</v>
      </c>
    </row>
    <row r="31" spans="1:2" ht="12.75">
      <c r="A31" s="11" t="s">
        <v>109</v>
      </c>
      <c r="B31" s="12" t="s">
        <v>110</v>
      </c>
    </row>
    <row r="32" spans="1:2" ht="22.5">
      <c r="A32" s="11" t="s">
        <v>111</v>
      </c>
      <c r="B32" s="12" t="s">
        <v>112</v>
      </c>
    </row>
    <row r="33" spans="1:2" ht="22.5">
      <c r="A33" s="13" t="s">
        <v>113</v>
      </c>
      <c r="B33" s="14" t="s">
        <v>114</v>
      </c>
    </row>
  </sheetData>
  <sheetProtection/>
  <mergeCells count="1">
    <mergeCell ref="A1:B1"/>
  </mergeCells>
  <printOptions horizontalCentered="1" verticalCentered="1"/>
  <pageMargins left="0.590277777777778" right="0.590277777777778" top="0.590277777777778" bottom="0.590277777777778" header="0.196527777777778" footer="0.511805555555555"/>
  <pageSetup horizontalDpi="300" verticalDpi="300" orientation="portrait" paperSize="9"/>
  <headerFooter alignWithMargins="0">
    <oddHeader>&amp;C&amp;20ESTA PÁGINA NÃO PRECISA SER IMPRESSA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21"/>
  <sheetViews>
    <sheetView showGridLines="0" tabSelected="1" zoomScalePageLayoutView="0" workbookViewId="0" topLeftCell="A1">
      <selection activeCell="B30" sqref="B30"/>
    </sheetView>
  </sheetViews>
  <sheetFormatPr defaultColWidth="9.421875" defaultRowHeight="12.75"/>
  <cols>
    <col min="1" max="1" width="11.7109375" style="0" customWidth="1"/>
    <col min="2" max="2" width="66.00390625" style="0" customWidth="1"/>
    <col min="3" max="3" width="11.00390625" style="0" customWidth="1"/>
    <col min="4" max="4" width="20.140625" style="0" customWidth="1"/>
  </cols>
  <sheetData>
    <row r="1" spans="1:4" s="17" customFormat="1" ht="22.5">
      <c r="A1" s="91" t="str">
        <f>'Orçamento Sintético'!A1</f>
        <v>P. Execução:</v>
      </c>
      <c r="B1" s="92" t="str">
        <f>'Orçamento Sintético'!D1</f>
        <v>Objeto: Remanescente da reforma acessibilidade do edifício das Promotorias de Justiça da Infância</v>
      </c>
      <c r="C1" s="93" t="str">
        <f>'Orçamento Sintético'!C1</f>
        <v>Licitação:</v>
      </c>
      <c r="D1" s="194"/>
    </row>
    <row r="2" spans="1:4" s="17" customFormat="1" ht="12.75" customHeight="1">
      <c r="A2" s="94" t="str">
        <f>'Orçamento Sintético'!A2</f>
        <v>A</v>
      </c>
      <c r="B2" s="95" t="str">
        <f>'Orçamento Sintético'!D2</f>
        <v>Local: SEPN 711/911, - Asa Norte Bloco B - Brasília – DF</v>
      </c>
      <c r="C2" s="82" t="str">
        <f>'Orçamento Sintético'!C2</f>
        <v>B</v>
      </c>
      <c r="D2" s="195"/>
    </row>
    <row r="3" spans="1:4" s="17" customFormat="1" ht="12.75" customHeight="1">
      <c r="A3" s="91" t="str">
        <f>'Orçamento Sintético'!A3</f>
        <v>P. Validade:</v>
      </c>
      <c r="B3" s="91" t="str">
        <f>'Orçamento Sintético'!C3</f>
        <v>Razão Social:</v>
      </c>
      <c r="C3" s="91" t="str">
        <f>'Orçamento Sintético'!E1</f>
        <v>Data:</v>
      </c>
      <c r="D3" s="195"/>
    </row>
    <row r="4" spans="1:4" s="17" customFormat="1" ht="12.75" customHeight="1">
      <c r="A4" s="94" t="str">
        <f>'Orçamento Sintético'!A4</f>
        <v>C</v>
      </c>
      <c r="B4" s="94" t="str">
        <f>'Orçamento Sintético'!C4</f>
        <v>D</v>
      </c>
      <c r="C4" s="18">
        <f>'Orçamento Sintético'!E2</f>
        <v>1</v>
      </c>
      <c r="D4" s="195"/>
    </row>
    <row r="5" spans="1:4" s="17" customFormat="1" ht="12.75">
      <c r="A5" s="91" t="str">
        <f>'Orçamento Sintético'!A5</f>
        <v>P. Garantia:</v>
      </c>
      <c r="B5" s="91" t="str">
        <f>'Orçamento Sintético'!C5</f>
        <v>CNPJ:</v>
      </c>
      <c r="C5" s="91" t="str">
        <f>'Orçamento Sintético'!E3</f>
        <v>Telefone:</v>
      </c>
      <c r="D5" s="195"/>
    </row>
    <row r="6" spans="1:4" s="17" customFormat="1" ht="12.75">
      <c r="A6" s="94" t="str">
        <f>'Orçamento Sintético'!A6</f>
        <v>F</v>
      </c>
      <c r="B6" s="94" t="str">
        <f>'Orçamento Sintético'!C6</f>
        <v>G</v>
      </c>
      <c r="C6" s="94" t="str">
        <f>'Orçamento Sintético'!E4</f>
        <v>E</v>
      </c>
      <c r="D6" s="196"/>
    </row>
    <row r="7" spans="1:4" s="19" customFormat="1" ht="15" customHeight="1">
      <c r="A7" s="197" t="s">
        <v>115</v>
      </c>
      <c r="B7" s="197"/>
      <c r="C7" s="197"/>
      <c r="D7" s="197"/>
    </row>
    <row r="8" spans="1:4" s="17" customFormat="1" ht="12.75" customHeight="1">
      <c r="A8" s="20" t="s">
        <v>116</v>
      </c>
      <c r="B8" s="21" t="s">
        <v>117</v>
      </c>
      <c r="C8" s="21" t="s">
        <v>118</v>
      </c>
      <c r="D8" s="21" t="s">
        <v>119</v>
      </c>
    </row>
    <row r="9" spans="1:4" ht="23.25" customHeight="1">
      <c r="A9" s="83" t="s">
        <v>120</v>
      </c>
      <c r="B9" s="22" t="str">
        <f>VLOOKUP(A9,'Orçamento Sintético'!$A:$H,4,0)</f>
        <v>SERVIÇOS TÉCNICOS-PROFISSIONAIS</v>
      </c>
      <c r="C9" s="23">
        <f aca="true" t="shared" si="0" ref="C9:C17">ROUND(D9/$D$19,4)</f>
        <v>0.0004</v>
      </c>
      <c r="D9" s="24">
        <f>VLOOKUP(A9,'Orçamento Sintético'!$A:$H,8,0)</f>
        <v>233.94</v>
      </c>
    </row>
    <row r="10" spans="1:4" ht="23.25" customHeight="1">
      <c r="A10" s="83" t="s">
        <v>122</v>
      </c>
      <c r="B10" s="22" t="str">
        <f>VLOOKUP(A10,'Orçamento Sintético'!$A:$H,4,0)</f>
        <v>SERVIÇOS PRELIMINARES</v>
      </c>
      <c r="C10" s="23">
        <f t="shared" si="0"/>
        <v>0.0287</v>
      </c>
      <c r="D10" s="24">
        <f>VLOOKUP(A10,'Orçamento Sintético'!$A:$H,8,0)</f>
        <v>17605.91</v>
      </c>
    </row>
    <row r="11" spans="1:4" ht="23.25" customHeight="1">
      <c r="A11" s="83" t="s">
        <v>124</v>
      </c>
      <c r="B11" s="22" t="str">
        <f>VLOOKUP(A11,'Orçamento Sintético'!$A:$H,4,0)</f>
        <v>ARQUITETURA E ELEMENTOS DE URBANISMO</v>
      </c>
      <c r="C11" s="23">
        <f t="shared" si="0"/>
        <v>0.7608</v>
      </c>
      <c r="D11" s="24">
        <f>VLOOKUP(A11,'Orçamento Sintético'!$A:$H,8,0)</f>
        <v>467181.43</v>
      </c>
    </row>
    <row r="12" spans="1:4" ht="23.25" customHeight="1">
      <c r="A12" s="83" t="s">
        <v>126</v>
      </c>
      <c r="B12" s="22" t="str">
        <f>VLOOKUP(A12,'Orçamento Sintético'!$A:$H,4,0)</f>
        <v>INSTALAÇÕES ELÉTRICAS E ELETRÔNICAS</v>
      </c>
      <c r="C12" s="23">
        <f t="shared" si="0"/>
        <v>0.1037</v>
      </c>
      <c r="D12" s="24">
        <f>VLOOKUP(A12,'Orçamento Sintético'!$A:$H,8,0)</f>
        <v>63696.80999999999</v>
      </c>
    </row>
    <row r="13" spans="1:4" ht="23.25" customHeight="1">
      <c r="A13" s="83" t="s">
        <v>128</v>
      </c>
      <c r="B13" s="22" t="str">
        <f>VLOOKUP(A13,'Orçamento Sintético'!$A:$H,4,0)</f>
        <v>INSTALAÇÕES HIDRÁULICAS E SANITÁRIAS</v>
      </c>
      <c r="C13" s="23">
        <f t="shared" si="0"/>
        <v>0.0537</v>
      </c>
      <c r="D13" s="24">
        <f>VLOOKUP(A13,'Orçamento Sintético'!$A:$H,8,0)</f>
        <v>32964.52</v>
      </c>
    </row>
    <row r="14" spans="1:4" ht="23.25" customHeight="1">
      <c r="A14" s="83" t="s">
        <v>130</v>
      </c>
      <c r="B14" s="22" t="str">
        <f>VLOOKUP(A14,'Orçamento Sintético'!$A:$H,4,0)</f>
        <v>INSTALAÇÕES MECÂNICAS E DE UTILIDADES</v>
      </c>
      <c r="C14" s="23">
        <f t="shared" si="0"/>
        <v>0.0077</v>
      </c>
      <c r="D14" s="24">
        <f>VLOOKUP(A14,'Orçamento Sintético'!$A:$H,8,0)</f>
        <v>4743.91</v>
      </c>
    </row>
    <row r="15" spans="1:4" ht="23.25" customHeight="1">
      <c r="A15" s="83" t="s">
        <v>132</v>
      </c>
      <c r="B15" s="22" t="str">
        <f>VLOOKUP(A15,'Orçamento Sintético'!$A:$H,4,0)</f>
        <v>INSTALAÇÕES DE PREVENÇÃO E COMBATE A INCÊNDIO</v>
      </c>
      <c r="C15" s="23">
        <f t="shared" si="0"/>
        <v>0.0002</v>
      </c>
      <c r="D15" s="24">
        <f>VLOOKUP(A15,'Orçamento Sintético'!$A:$H,8,0)</f>
        <v>121.38</v>
      </c>
    </row>
    <row r="16" spans="1:4" ht="23.25" customHeight="1">
      <c r="A16" s="83" t="s">
        <v>134</v>
      </c>
      <c r="B16" s="22" t="str">
        <f>VLOOKUP(A16,'Orçamento Sintético'!$A:$H,4,0)</f>
        <v>SERVIÇOS COMPLEMENTARES</v>
      </c>
      <c r="C16" s="23">
        <f t="shared" si="0"/>
        <v>0.014</v>
      </c>
      <c r="D16" s="24">
        <f>VLOOKUP(A16,'Orçamento Sintético'!$A:$H,8,0)</f>
        <v>8575.68</v>
      </c>
    </row>
    <row r="17" spans="1:4" ht="23.25" customHeight="1">
      <c r="A17" s="83" t="s">
        <v>136</v>
      </c>
      <c r="B17" s="22" t="str">
        <f>VLOOKUP(A17,'Orçamento Sintético'!$A:$H,4,0)</f>
        <v>SERVIÇOS AUXILIARES E ADMINISTRATIVOS</v>
      </c>
      <c r="C17" s="23">
        <f t="shared" si="0"/>
        <v>0.0309</v>
      </c>
      <c r="D17" s="24">
        <f>VLOOKUP(A17,'Orçamento Sintético'!$A:$H,8,0)</f>
        <v>18963.059999999998</v>
      </c>
    </row>
    <row r="18" spans="1:4" ht="12.75" customHeight="1">
      <c r="A18" s="25"/>
      <c r="B18" s="25"/>
      <c r="C18" s="25"/>
      <c r="D18" s="25"/>
    </row>
    <row r="19" spans="1:4" ht="12.75">
      <c r="A19" s="26"/>
      <c r="B19" s="27" t="s">
        <v>138</v>
      </c>
      <c r="C19" s="28"/>
      <c r="D19" s="28">
        <f>SUM(D9:D17)</f>
        <v>614086.6400000001</v>
      </c>
    </row>
    <row r="20" spans="1:4" ht="12.75">
      <c r="A20" s="26"/>
      <c r="B20" s="27" t="s">
        <v>139</v>
      </c>
      <c r="C20" s="29" t="str">
        <f>"("&amp;'Composição de BDI'!$D$23*100&amp;"%)"</f>
        <v>(22,12%)</v>
      </c>
      <c r="D20" s="28">
        <f>TRUNC(D19*'Composição de BDI'!D23,2)</f>
        <v>135835.96</v>
      </c>
    </row>
    <row r="21" spans="1:4" ht="12.75">
      <c r="A21" s="26"/>
      <c r="B21" s="27" t="s">
        <v>140</v>
      </c>
      <c r="C21" s="28"/>
      <c r="D21" s="28">
        <f>SUM(D19:D20)</f>
        <v>749922.6000000001</v>
      </c>
    </row>
  </sheetData>
  <sheetProtection sheet="1" objects="1" scenarios="1"/>
  <mergeCells count="2">
    <mergeCell ref="D1:D6"/>
    <mergeCell ref="A7:D7"/>
  </mergeCells>
  <printOptions horizontalCentered="1"/>
  <pageMargins left="0.590277777777778" right="0.590277777777778" top="0.590277777777778" bottom="0.590277777777778" header="0.196527777777778" footer="0.196527777777778"/>
  <pageSetup fitToHeight="0" fitToWidth="1" horizontalDpi="300" verticalDpi="300" orientation="portrait" paperSize="9" scale="84" r:id="rId1"/>
  <headerFooter alignWithMargins="0">
    <oddHeader>&amp;L&amp;11</oddHeader>
    <oddFooter>&amp;L&amp;11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31"/>
  <sheetViews>
    <sheetView showGridLines="0" zoomScalePageLayoutView="0" workbookViewId="0" topLeftCell="A1">
      <pane ySplit="8" topLeftCell="BM9" activePane="bottomLeft" state="frozen"/>
      <selection pane="topLeft" activeCell="A1" sqref="A1"/>
      <selection pane="bottomLeft" activeCell="A9" sqref="A9"/>
    </sheetView>
  </sheetViews>
  <sheetFormatPr defaultColWidth="9.421875" defaultRowHeight="12.75"/>
  <cols>
    <col min="1" max="1" width="12.7109375" style="30" customWidth="1"/>
    <col min="2" max="2" width="10.7109375" style="30" customWidth="1"/>
    <col min="3" max="3" width="9.7109375" style="30" customWidth="1"/>
    <col min="4" max="4" width="60.7109375" style="30" customWidth="1"/>
    <col min="5" max="5" width="8.7109375" style="31" customWidth="1"/>
    <col min="6" max="6" width="10.7109375" style="30" customWidth="1"/>
    <col min="7" max="8" width="13.7109375" style="30" customWidth="1"/>
    <col min="9" max="16384" width="9.421875" style="81" customWidth="1"/>
  </cols>
  <sheetData>
    <row r="1" spans="1:8" s="78" customFormat="1" ht="22.5">
      <c r="A1" s="15" t="s">
        <v>141</v>
      </c>
      <c r="B1" s="32"/>
      <c r="C1" s="16" t="s">
        <v>142</v>
      </c>
      <c r="D1" s="33" t="s">
        <v>143</v>
      </c>
      <c r="E1" s="15" t="s">
        <v>144</v>
      </c>
      <c r="F1" s="34"/>
      <c r="G1" s="205"/>
      <c r="H1" s="205"/>
    </row>
    <row r="2" spans="1:8" s="78" customFormat="1" ht="12.75">
      <c r="A2" s="202" t="s">
        <v>69</v>
      </c>
      <c r="B2" s="202"/>
      <c r="C2" s="96" t="s">
        <v>75</v>
      </c>
      <c r="D2" s="35" t="s">
        <v>145</v>
      </c>
      <c r="E2" s="206">
        <v>1</v>
      </c>
      <c r="F2" s="206"/>
      <c r="G2" s="190"/>
      <c r="H2" s="190"/>
    </row>
    <row r="3" spans="1:8" s="78" customFormat="1" ht="12.75">
      <c r="A3" s="204" t="s">
        <v>146</v>
      </c>
      <c r="B3" s="204"/>
      <c r="C3" s="204" t="s">
        <v>147</v>
      </c>
      <c r="D3" s="204"/>
      <c r="E3" s="15" t="s">
        <v>148</v>
      </c>
      <c r="F3" s="36"/>
      <c r="G3" s="97"/>
      <c r="H3" s="98"/>
    </row>
    <row r="4" spans="1:8" s="78" customFormat="1" ht="12.75">
      <c r="A4" s="202" t="s">
        <v>83</v>
      </c>
      <c r="B4" s="202"/>
      <c r="C4" s="202" t="s">
        <v>91</v>
      </c>
      <c r="D4" s="202"/>
      <c r="E4" s="202" t="s">
        <v>95</v>
      </c>
      <c r="F4" s="202"/>
      <c r="G4" s="190"/>
      <c r="H4" s="190"/>
    </row>
    <row r="5" spans="1:8" s="78" customFormat="1" ht="12.75">
      <c r="A5" s="37" t="s">
        <v>149</v>
      </c>
      <c r="B5" s="32"/>
      <c r="C5" s="15" t="s">
        <v>150</v>
      </c>
      <c r="D5" s="38"/>
      <c r="E5" s="15" t="s">
        <v>151</v>
      </c>
      <c r="F5" s="36"/>
      <c r="G5" s="97"/>
      <c r="H5" s="98"/>
    </row>
    <row r="6" spans="1:8" s="78" customFormat="1" ht="12.75">
      <c r="A6" s="201" t="s">
        <v>103</v>
      </c>
      <c r="B6" s="201"/>
      <c r="C6" s="202" t="s">
        <v>107</v>
      </c>
      <c r="D6" s="202"/>
      <c r="E6" s="202" t="s">
        <v>152</v>
      </c>
      <c r="F6" s="202"/>
      <c r="G6" s="201"/>
      <c r="H6" s="201"/>
    </row>
    <row r="7" spans="1:8" s="79" customFormat="1" ht="15" customHeight="1">
      <c r="A7" s="203" t="s">
        <v>153</v>
      </c>
      <c r="B7" s="203"/>
      <c r="C7" s="203"/>
      <c r="D7" s="203"/>
      <c r="E7" s="203"/>
      <c r="F7" s="203"/>
      <c r="G7" s="203"/>
      <c r="H7" s="203"/>
    </row>
    <row r="8" spans="1:8" s="78" customFormat="1" ht="12.75">
      <c r="A8" s="39" t="s">
        <v>116</v>
      </c>
      <c r="B8" s="39" t="s">
        <v>154</v>
      </c>
      <c r="C8" s="39" t="s">
        <v>155</v>
      </c>
      <c r="D8" s="39" t="s">
        <v>117</v>
      </c>
      <c r="E8" s="39" t="s">
        <v>156</v>
      </c>
      <c r="F8" s="39" t="s">
        <v>157</v>
      </c>
      <c r="G8" s="39" t="s">
        <v>158</v>
      </c>
      <c r="H8" s="39" t="s">
        <v>119</v>
      </c>
    </row>
    <row r="9" spans="1:8" s="80" customFormat="1" ht="11.25">
      <c r="A9" s="83" t="s">
        <v>120</v>
      </c>
      <c r="B9" s="85"/>
      <c r="C9" s="85"/>
      <c r="D9" s="83" t="s">
        <v>121</v>
      </c>
      <c r="E9" s="85"/>
      <c r="F9" s="86"/>
      <c r="G9" s="83"/>
      <c r="H9" s="87">
        <f>H10</f>
        <v>233.94</v>
      </c>
    </row>
    <row r="10" spans="1:8" s="80" customFormat="1" ht="11.25">
      <c r="A10" s="84" t="s">
        <v>633</v>
      </c>
      <c r="B10" s="88"/>
      <c r="C10" s="88"/>
      <c r="D10" s="84" t="s">
        <v>159</v>
      </c>
      <c r="E10" s="88"/>
      <c r="F10" s="89"/>
      <c r="G10" s="84"/>
      <c r="H10" s="90">
        <f>SUM(H11)</f>
        <v>233.94</v>
      </c>
    </row>
    <row r="11" spans="1:8" ht="12.75">
      <c r="A11" s="40" t="s">
        <v>634</v>
      </c>
      <c r="B11" s="41" t="s">
        <v>635</v>
      </c>
      <c r="C11" s="41" t="s">
        <v>160</v>
      </c>
      <c r="D11" s="189" t="s">
        <v>636</v>
      </c>
      <c r="E11" s="41" t="s">
        <v>449</v>
      </c>
      <c r="F11" s="42">
        <v>1</v>
      </c>
      <c r="G11" s="42">
        <f>VLOOKUP(A11,'Orçamento Analítico'!$A:$H,8,0)</f>
        <v>233.94</v>
      </c>
      <c r="H11" s="42">
        <f>TRUNC(F11*G11,2)</f>
        <v>233.94</v>
      </c>
    </row>
    <row r="12" spans="1:8" s="80" customFormat="1" ht="11.25">
      <c r="A12" s="83" t="s">
        <v>122</v>
      </c>
      <c r="B12" s="85"/>
      <c r="C12" s="85"/>
      <c r="D12" s="83" t="s">
        <v>123</v>
      </c>
      <c r="E12" s="85"/>
      <c r="F12" s="86"/>
      <c r="G12" s="83"/>
      <c r="H12" s="87">
        <f>H13+H19</f>
        <v>17605.91</v>
      </c>
    </row>
    <row r="13" spans="1:8" s="80" customFormat="1" ht="11.25">
      <c r="A13" s="84" t="s">
        <v>637</v>
      </c>
      <c r="B13" s="88"/>
      <c r="C13" s="88"/>
      <c r="D13" s="84" t="s">
        <v>638</v>
      </c>
      <c r="E13" s="88"/>
      <c r="F13" s="89"/>
      <c r="G13" s="84"/>
      <c r="H13" s="90">
        <f>SUM(H14)</f>
        <v>5172.679999999999</v>
      </c>
    </row>
    <row r="14" spans="1:8" ht="12.75">
      <c r="A14" s="84" t="s">
        <v>639</v>
      </c>
      <c r="B14" s="88"/>
      <c r="C14" s="88"/>
      <c r="D14" s="84" t="s">
        <v>640</v>
      </c>
      <c r="E14" s="88"/>
      <c r="F14" s="89"/>
      <c r="G14" s="84"/>
      <c r="H14" s="90">
        <f>SUM(H15:H18)</f>
        <v>5172.679999999999</v>
      </c>
    </row>
    <row r="15" spans="1:8" ht="12.75">
      <c r="A15" s="40" t="s">
        <v>641</v>
      </c>
      <c r="B15" s="41" t="s">
        <v>162</v>
      </c>
      <c r="C15" s="41" t="str">
        <f>VLOOKUP(B15,'Insumos e Serviços'!$A:$F,2,0)</f>
        <v>SINAPI</v>
      </c>
      <c r="D15" s="189" t="str">
        <f>VLOOKUP(B15,'Insumos e Serviços'!$A:$F,4,0)</f>
        <v>SINALIZAÇÃO COM FITA FIXADA NA ESTRUTURA. AF_11/2017</v>
      </c>
      <c r="E15" s="41" t="str">
        <f>VLOOKUP(B15,'Insumos e Serviços'!$A:$F,5,0)</f>
        <v>M</v>
      </c>
      <c r="F15" s="42">
        <v>60</v>
      </c>
      <c r="G15" s="42">
        <f>VLOOKUP(B15,'Insumos e Serviços'!$A:$F,6,0)</f>
        <v>2.67</v>
      </c>
      <c r="H15" s="42">
        <f>TRUNC(F15*G15,2)</f>
        <v>160.2</v>
      </c>
    </row>
    <row r="16" spans="1:8" ht="22.5">
      <c r="A16" s="40" t="s">
        <v>642</v>
      </c>
      <c r="B16" s="41" t="s">
        <v>163</v>
      </c>
      <c r="C16" s="41" t="s">
        <v>160</v>
      </c>
      <c r="D16" s="189" t="s">
        <v>643</v>
      </c>
      <c r="E16" s="41" t="s">
        <v>166</v>
      </c>
      <c r="F16" s="42">
        <v>300</v>
      </c>
      <c r="G16" s="42">
        <f>VLOOKUP(A16,'Orçamento Analítico'!$A:$H,8,0)</f>
        <v>5.63</v>
      </c>
      <c r="H16" s="42">
        <f>TRUNC(F16*G16,2)</f>
        <v>1689</v>
      </c>
    </row>
    <row r="17" spans="1:8" ht="33.75">
      <c r="A17" s="40" t="s">
        <v>644</v>
      </c>
      <c r="B17" s="41" t="s">
        <v>164</v>
      </c>
      <c r="C17" s="41" t="s">
        <v>243</v>
      </c>
      <c r="D17" s="189" t="s">
        <v>260</v>
      </c>
      <c r="E17" s="41" t="s">
        <v>253</v>
      </c>
      <c r="F17" s="42">
        <v>3</v>
      </c>
      <c r="G17" s="42">
        <f>VLOOKUP(B17,'Insumos e Serviços'!$A:$F,6,0)</f>
        <v>722.65</v>
      </c>
      <c r="H17" s="42">
        <f>TRUNC(F17*G17,2)</f>
        <v>2167.95</v>
      </c>
    </row>
    <row r="18" spans="1:8" ht="22.5">
      <c r="A18" s="40" t="s">
        <v>1225</v>
      </c>
      <c r="B18" s="41" t="s">
        <v>165</v>
      </c>
      <c r="C18" s="41" t="s">
        <v>160</v>
      </c>
      <c r="D18" s="189" t="s">
        <v>645</v>
      </c>
      <c r="E18" s="41" t="s">
        <v>168</v>
      </c>
      <c r="F18" s="42">
        <v>1</v>
      </c>
      <c r="G18" s="42">
        <f>VLOOKUP(A18,'Orçamento Analítico'!$A:$H,8,0)</f>
        <v>1155.53</v>
      </c>
      <c r="H18" s="42">
        <f>TRUNC(F18*G18,2)</f>
        <v>1155.53</v>
      </c>
    </row>
    <row r="19" spans="1:8" ht="12.75">
      <c r="A19" s="84" t="s">
        <v>646</v>
      </c>
      <c r="B19" s="88"/>
      <c r="C19" s="88"/>
      <c r="D19" s="84" t="s">
        <v>647</v>
      </c>
      <c r="E19" s="88"/>
      <c r="F19" s="89"/>
      <c r="G19" s="84"/>
      <c r="H19" s="90">
        <f>H20+H26</f>
        <v>12433.23</v>
      </c>
    </row>
    <row r="20" spans="1:8" ht="12.75">
      <c r="A20" s="84" t="s">
        <v>648</v>
      </c>
      <c r="B20" s="88"/>
      <c r="C20" s="88"/>
      <c r="D20" s="84" t="s">
        <v>649</v>
      </c>
      <c r="E20" s="88"/>
      <c r="F20" s="89"/>
      <c r="G20" s="84"/>
      <c r="H20" s="90">
        <f>SUM(H21:H25)</f>
        <v>3816.01</v>
      </c>
    </row>
    <row r="21" spans="1:8" ht="22.5">
      <c r="A21" s="40" t="s">
        <v>650</v>
      </c>
      <c r="B21" s="41" t="s">
        <v>261</v>
      </c>
      <c r="C21" s="41" t="str">
        <f>VLOOKUP(B21,'Insumos e Serviços'!$A:$F,2,0)</f>
        <v>SINAPI</v>
      </c>
      <c r="D21" s="189" t="str">
        <f>VLOOKUP(B21,'Insumos e Serviços'!$A:$F,4,0)</f>
        <v>DEMOLIÇÃO DE RODAPÉ CERÂMICO, DE FORMA MANUAL, SEM REAPROVEITAMENTO. AF_12/2017</v>
      </c>
      <c r="E21" s="41" t="str">
        <f>VLOOKUP(B21,'Insumos e Serviços'!$A:$F,5,0)</f>
        <v>M</v>
      </c>
      <c r="F21" s="42">
        <v>130</v>
      </c>
      <c r="G21" s="42">
        <f>VLOOKUP(B21,'Insumos e Serviços'!$A:$F,6,0)</f>
        <v>2.26</v>
      </c>
      <c r="H21" s="42">
        <f>TRUNC(F21*G21,2)</f>
        <v>293.8</v>
      </c>
    </row>
    <row r="22" spans="1:8" ht="22.5">
      <c r="A22" s="40" t="s">
        <v>651</v>
      </c>
      <c r="B22" s="41" t="s">
        <v>174</v>
      </c>
      <c r="C22" s="41" t="str">
        <f>VLOOKUP(B22,'Insumos e Serviços'!$A:$F,2,0)</f>
        <v>SINAPI</v>
      </c>
      <c r="D22" s="189" t="str">
        <f>VLOOKUP(B22,'Insumos e Serviços'!$A:$F,4,0)</f>
        <v>DEMOLIÇÃO DE REVESTIMENTO CERÂMICO, DE FORMA MECANIZADA COM MARTELETE, SEM REAPROVEITAMENTO. AF_12/2017</v>
      </c>
      <c r="E22" s="41" t="str">
        <f>VLOOKUP(B22,'Insumos e Serviços'!$A:$F,5,0)</f>
        <v>m²</v>
      </c>
      <c r="F22" s="42">
        <v>270</v>
      </c>
      <c r="G22" s="42">
        <f>VLOOKUP(B22,'Insumos e Serviços'!$A:$F,6,0)</f>
        <v>10.73</v>
      </c>
      <c r="H22" s="42">
        <f>TRUNC(F22*G22,2)</f>
        <v>2897.1</v>
      </c>
    </row>
    <row r="23" spans="1:8" ht="12.75">
      <c r="A23" s="40" t="s">
        <v>652</v>
      </c>
      <c r="B23" s="41" t="s">
        <v>169</v>
      </c>
      <c r="C23" s="41" t="s">
        <v>160</v>
      </c>
      <c r="D23" s="189" t="s">
        <v>170</v>
      </c>
      <c r="E23" s="41" t="s">
        <v>171</v>
      </c>
      <c r="F23" s="42">
        <v>1</v>
      </c>
      <c r="G23" s="42">
        <f>VLOOKUP(A23,'Orçamento Analítico'!$A:$H,8,0)</f>
        <v>329.69</v>
      </c>
      <c r="H23" s="42">
        <f>TRUNC(F23*G23,2)</f>
        <v>329.69</v>
      </c>
    </row>
    <row r="24" spans="1:8" ht="22.5">
      <c r="A24" s="40" t="s">
        <v>653</v>
      </c>
      <c r="B24" s="41" t="s">
        <v>173</v>
      </c>
      <c r="C24" s="41" t="str">
        <f>VLOOKUP(B24,'Insumos e Serviços'!$A:$F,2,0)</f>
        <v>SINAPI</v>
      </c>
      <c r="D24" s="189" t="str">
        <f>VLOOKUP(B24,'Insumos e Serviços'!$A:$F,4,0)</f>
        <v>DEMOLIÇÃO DE ALVENARIA DE BLOCO FURADO, DE FORMA MANUAL, SEM REAPROVEITAMENTO. AF_12/2017</v>
      </c>
      <c r="E24" s="41" t="str">
        <f>VLOOKUP(B24,'Insumos e Serviços'!$A:$F,5,0)</f>
        <v>m³</v>
      </c>
      <c r="F24" s="42">
        <v>2</v>
      </c>
      <c r="G24" s="42">
        <f>VLOOKUP(B24,'Insumos e Serviços'!$A:$F,6,0)</f>
        <v>48.99</v>
      </c>
      <c r="H24" s="42">
        <f>TRUNC(F24*G24,2)</f>
        <v>97.98</v>
      </c>
    </row>
    <row r="25" spans="1:8" ht="22.5">
      <c r="A25" s="40" t="s">
        <v>654</v>
      </c>
      <c r="B25" s="41" t="s">
        <v>265</v>
      </c>
      <c r="C25" s="41" t="str">
        <f>VLOOKUP(B25,'Insumos e Serviços'!$A:$F,2,0)</f>
        <v>SINAPI</v>
      </c>
      <c r="D25" s="189" t="str">
        <f>VLOOKUP(B25,'Insumos e Serviços'!$A:$F,4,0)</f>
        <v>RASGO EM ALVENARIA PARA RAMAIS/ DISTRIBUIÇÃO COM DIAMETROS MENORES OU IGUAIS A 40 MM. AF_05/2015</v>
      </c>
      <c r="E25" s="41" t="str">
        <f>VLOOKUP(B25,'Insumos e Serviços'!$A:$F,5,0)</f>
        <v>M</v>
      </c>
      <c r="F25" s="42">
        <v>16</v>
      </c>
      <c r="G25" s="42">
        <f>VLOOKUP(B25,'Insumos e Serviços'!$A:$F,6,0)</f>
        <v>12.34</v>
      </c>
      <c r="H25" s="42">
        <f>TRUNC(F25*G25,2)</f>
        <v>197.44</v>
      </c>
    </row>
    <row r="26" spans="1:8" ht="12.75">
      <c r="A26" s="84" t="s">
        <v>655</v>
      </c>
      <c r="B26" s="88"/>
      <c r="C26" s="88"/>
      <c r="D26" s="84" t="s">
        <v>656</v>
      </c>
      <c r="E26" s="88"/>
      <c r="F26" s="89"/>
      <c r="G26" s="84"/>
      <c r="H26" s="90">
        <f>SUM(H27:H38)</f>
        <v>8617.22</v>
      </c>
    </row>
    <row r="27" spans="1:8" ht="22.5">
      <c r="A27" s="40" t="s">
        <v>657</v>
      </c>
      <c r="B27" s="41" t="s">
        <v>658</v>
      </c>
      <c r="C27" s="41" t="s">
        <v>160</v>
      </c>
      <c r="D27" s="189" t="s">
        <v>659</v>
      </c>
      <c r="E27" s="41" t="s">
        <v>166</v>
      </c>
      <c r="F27" s="42">
        <v>208</v>
      </c>
      <c r="G27" s="42">
        <f>VLOOKUP(A27,'Orçamento Analítico'!$A:$H,8,0)</f>
        <v>8.95</v>
      </c>
      <c r="H27" s="42">
        <f aca="true" t="shared" si="0" ref="H27:H38">TRUNC(F27*G27,2)</f>
        <v>1861.6</v>
      </c>
    </row>
    <row r="28" spans="1:8" ht="12.75">
      <c r="A28" s="40" t="s">
        <v>660</v>
      </c>
      <c r="B28" s="41" t="s">
        <v>661</v>
      </c>
      <c r="C28" s="41" t="s">
        <v>160</v>
      </c>
      <c r="D28" s="189" t="s">
        <v>662</v>
      </c>
      <c r="E28" s="41" t="s">
        <v>167</v>
      </c>
      <c r="F28" s="42">
        <v>55</v>
      </c>
      <c r="G28" s="42">
        <f>VLOOKUP(A28,'Orçamento Analítico'!$A:$H,8,0)</f>
        <v>5.7</v>
      </c>
      <c r="H28" s="42">
        <f t="shared" si="0"/>
        <v>313.5</v>
      </c>
    </row>
    <row r="29" spans="1:8" ht="22.5">
      <c r="A29" s="40" t="s">
        <v>663</v>
      </c>
      <c r="B29" s="41" t="s">
        <v>178</v>
      </c>
      <c r="C29" s="41" t="str">
        <f>VLOOKUP(B29,'Insumos e Serviços'!$A:$F,2,0)</f>
        <v>SINAPI</v>
      </c>
      <c r="D29" s="189" t="str">
        <f>VLOOKUP(B29,'Insumos e Serviços'!$A:$F,4,0)</f>
        <v>REMOÇÃO DE LUMINÁRIAS, DE FORMA MANUAL, SEM REAPROVEITAMENTO. AF_12/2017</v>
      </c>
      <c r="E29" s="41" t="str">
        <f>VLOOKUP(B29,'Insumos e Serviços'!$A:$F,5,0)</f>
        <v>UN</v>
      </c>
      <c r="F29" s="42">
        <v>13</v>
      </c>
      <c r="G29" s="42">
        <f>VLOOKUP(B29,'Insumos e Serviços'!$A:$F,6,0)</f>
        <v>1.12</v>
      </c>
      <c r="H29" s="42">
        <f t="shared" si="0"/>
        <v>14.56</v>
      </c>
    </row>
    <row r="30" spans="1:8" ht="22.5">
      <c r="A30" s="40" t="s">
        <v>664</v>
      </c>
      <c r="B30" s="41" t="s">
        <v>268</v>
      </c>
      <c r="C30" s="41" t="str">
        <f>VLOOKUP(B30,'Insumos e Serviços'!$A:$F,2,0)</f>
        <v>SINAPI</v>
      </c>
      <c r="D30" s="189" t="str">
        <f>VLOOKUP(B30,'Insumos e Serviços'!$A:$F,4,0)</f>
        <v>REMOÇÃO DE PORTAS, DE FORMA MANUAL, SEM REAPROVEITAMENTO. AF_12/2017</v>
      </c>
      <c r="E30" s="41" t="str">
        <f>VLOOKUP(B30,'Insumos e Serviços'!$A:$F,5,0)</f>
        <v>m²</v>
      </c>
      <c r="F30" s="42">
        <v>12</v>
      </c>
      <c r="G30" s="42">
        <f>VLOOKUP(B30,'Insumos e Serviços'!$A:$F,6,0)</f>
        <v>8.1</v>
      </c>
      <c r="H30" s="42">
        <f t="shared" si="0"/>
        <v>97.2</v>
      </c>
    </row>
    <row r="31" spans="1:8" ht="22.5">
      <c r="A31" s="40" t="s">
        <v>665</v>
      </c>
      <c r="B31" s="41" t="s">
        <v>666</v>
      </c>
      <c r="C31" s="41" t="s">
        <v>160</v>
      </c>
      <c r="D31" s="189" t="s">
        <v>667</v>
      </c>
      <c r="E31" s="41" t="s">
        <v>166</v>
      </c>
      <c r="F31" s="42">
        <v>6</v>
      </c>
      <c r="G31" s="42">
        <f>VLOOKUP(A31,'Orçamento Analítico'!$A:$H,8,0)</f>
        <v>26.240000000000002</v>
      </c>
      <c r="H31" s="42">
        <f t="shared" si="0"/>
        <v>157.44</v>
      </c>
    </row>
    <row r="32" spans="1:8" ht="22.5">
      <c r="A32" s="40" t="s">
        <v>668</v>
      </c>
      <c r="B32" s="41" t="s">
        <v>175</v>
      </c>
      <c r="C32" s="41" t="s">
        <v>160</v>
      </c>
      <c r="D32" s="189" t="s">
        <v>176</v>
      </c>
      <c r="E32" s="41" t="s">
        <v>177</v>
      </c>
      <c r="F32" s="42">
        <v>105</v>
      </c>
      <c r="G32" s="42">
        <f>VLOOKUP(A32,'Orçamento Analítico'!$A:$H,8,0)</f>
        <v>7.52</v>
      </c>
      <c r="H32" s="42">
        <f t="shared" si="0"/>
        <v>789.6</v>
      </c>
    </row>
    <row r="33" spans="1:8" ht="22.5">
      <c r="A33" s="40" t="s">
        <v>669</v>
      </c>
      <c r="B33" s="41" t="s">
        <v>270</v>
      </c>
      <c r="C33" s="41" t="str">
        <f>VLOOKUP(B33,'Insumos e Serviços'!$A:$F,2,0)</f>
        <v>SINAPI</v>
      </c>
      <c r="D33" s="189" t="str">
        <f>VLOOKUP(B33,'Insumos e Serviços'!$A:$F,4,0)</f>
        <v>REMOÇÃO DE FORRO DE GESSO, DE FORMA MANUAL, SEM REAPROVEITAMENTO. AF_12/2017</v>
      </c>
      <c r="E33" s="41" t="str">
        <f>VLOOKUP(B33,'Insumos e Serviços'!$A:$F,5,0)</f>
        <v>m²</v>
      </c>
      <c r="F33" s="42">
        <v>22</v>
      </c>
      <c r="G33" s="42">
        <f>VLOOKUP(B33,'Insumos e Serviços'!$A:$F,6,0)</f>
        <v>4.38</v>
      </c>
      <c r="H33" s="42">
        <f t="shared" si="0"/>
        <v>96.36</v>
      </c>
    </row>
    <row r="34" spans="1:8" s="80" customFormat="1" ht="11.25">
      <c r="A34" s="40" t="s">
        <v>670</v>
      </c>
      <c r="B34" s="41" t="s">
        <v>671</v>
      </c>
      <c r="C34" s="41" t="s">
        <v>160</v>
      </c>
      <c r="D34" s="189" t="s">
        <v>672</v>
      </c>
      <c r="E34" s="41" t="s">
        <v>166</v>
      </c>
      <c r="F34" s="42">
        <v>53</v>
      </c>
      <c r="G34" s="42">
        <f>VLOOKUP(A34,'Orçamento Analítico'!$A:$H,8,0)</f>
        <v>13.23</v>
      </c>
      <c r="H34" s="42">
        <f t="shared" si="0"/>
        <v>701.19</v>
      </c>
    </row>
    <row r="35" spans="1:8" ht="22.5">
      <c r="A35" s="40" t="s">
        <v>673</v>
      </c>
      <c r="B35" s="41" t="s">
        <v>272</v>
      </c>
      <c r="C35" s="41" t="str">
        <f>VLOOKUP(B35,'Insumos e Serviços'!$A:$F,2,0)</f>
        <v>SINAPI</v>
      </c>
      <c r="D35" s="189" t="str">
        <f>VLOOKUP(B35,'Insumos e Serviços'!$A:$F,4,0)</f>
        <v>REMOÇÃO DE LOUÇAS, DE FORMA MANUAL, SEM REAPROVEITAMENTO. AF_12/2017</v>
      </c>
      <c r="E35" s="41" t="str">
        <f>VLOOKUP(B35,'Insumos e Serviços'!$A:$F,5,0)</f>
        <v>UN</v>
      </c>
      <c r="F35" s="42">
        <v>31</v>
      </c>
      <c r="G35" s="42">
        <f>VLOOKUP(B35,'Insumos e Serviços'!$A:$F,6,0)</f>
        <v>10.72</v>
      </c>
      <c r="H35" s="42">
        <f t="shared" si="0"/>
        <v>332.32</v>
      </c>
    </row>
    <row r="36" spans="1:8" ht="22.5">
      <c r="A36" s="40" t="s">
        <v>674</v>
      </c>
      <c r="B36" s="41" t="s">
        <v>274</v>
      </c>
      <c r="C36" s="41" t="str">
        <f>VLOOKUP(B36,'Insumos e Serviços'!$A:$F,2,0)</f>
        <v>SINAPI</v>
      </c>
      <c r="D36" s="189" t="str">
        <f>VLOOKUP(B36,'Insumos e Serviços'!$A:$F,4,0)</f>
        <v>REMOÇÃO DE METAIS SANITÁRIOS, DE FORMA MANUAL, SEM REAPROVEITAMENTO. AF_12/2017</v>
      </c>
      <c r="E36" s="41" t="str">
        <f>VLOOKUP(B36,'Insumos e Serviços'!$A:$F,5,0)</f>
        <v>UN</v>
      </c>
      <c r="F36" s="42">
        <v>51</v>
      </c>
      <c r="G36" s="42">
        <f>VLOOKUP(B36,'Insumos e Serviços'!$A:$F,6,0)</f>
        <v>7.81</v>
      </c>
      <c r="H36" s="42">
        <f t="shared" si="0"/>
        <v>398.31</v>
      </c>
    </row>
    <row r="37" spans="1:8" ht="22.5">
      <c r="A37" s="40" t="s">
        <v>675</v>
      </c>
      <c r="B37" s="41" t="s">
        <v>676</v>
      </c>
      <c r="C37" s="41" t="s">
        <v>160</v>
      </c>
      <c r="D37" s="189" t="s">
        <v>677</v>
      </c>
      <c r="E37" s="41" t="s">
        <v>166</v>
      </c>
      <c r="F37" s="42">
        <v>34</v>
      </c>
      <c r="G37" s="42">
        <f>VLOOKUP(A37,'Orçamento Analítico'!$A:$H,8,0)</f>
        <v>102.02000000000001</v>
      </c>
      <c r="H37" s="42">
        <f t="shared" si="0"/>
        <v>3468.68</v>
      </c>
    </row>
    <row r="38" spans="1:8" ht="22.5">
      <c r="A38" s="40" t="s">
        <v>678</v>
      </c>
      <c r="B38" s="41" t="s">
        <v>276</v>
      </c>
      <c r="C38" s="41" t="str">
        <f>VLOOKUP(B38,'Insumos e Serviços'!$A:$F,2,0)</f>
        <v>SINAPI</v>
      </c>
      <c r="D38" s="189" t="str">
        <f>VLOOKUP(B38,'Insumos e Serviços'!$A:$F,4,0)</f>
        <v>REMOÇÃO DE TAPUME/ CHAPAS METÁLICAS E DE MADEIRA, DE FORMA MANUAL, SEM REAPROVEITAMENTO. AF_12/2017</v>
      </c>
      <c r="E38" s="41" t="str">
        <f>VLOOKUP(B38,'Insumos e Serviços'!$A:$F,5,0)</f>
        <v>m²</v>
      </c>
      <c r="F38" s="42">
        <v>171</v>
      </c>
      <c r="G38" s="42">
        <f>VLOOKUP(B38,'Insumos e Serviços'!$A:$F,6,0)</f>
        <v>2.26</v>
      </c>
      <c r="H38" s="42">
        <f t="shared" si="0"/>
        <v>386.46</v>
      </c>
    </row>
    <row r="39" spans="1:8" ht="12.75">
      <c r="A39" s="83" t="s">
        <v>124</v>
      </c>
      <c r="B39" s="85"/>
      <c r="C39" s="85"/>
      <c r="D39" s="83" t="s">
        <v>125</v>
      </c>
      <c r="E39" s="85"/>
      <c r="F39" s="86"/>
      <c r="G39" s="83"/>
      <c r="H39" s="87">
        <f>H40</f>
        <v>467181.43</v>
      </c>
    </row>
    <row r="40" spans="1:8" ht="12.75">
      <c r="A40" s="84" t="s">
        <v>679</v>
      </c>
      <c r="B40" s="88"/>
      <c r="C40" s="88"/>
      <c r="D40" s="84" t="s">
        <v>183</v>
      </c>
      <c r="E40" s="88"/>
      <c r="F40" s="89"/>
      <c r="G40" s="84"/>
      <c r="H40" s="90">
        <f>H41+H46+H51+H55+H66+H76+H79+H88+H90+H94+H98+H129</f>
        <v>467181.43</v>
      </c>
    </row>
    <row r="41" spans="1:8" ht="12.75">
      <c r="A41" s="84" t="s">
        <v>680</v>
      </c>
      <c r="B41" s="88"/>
      <c r="C41" s="88"/>
      <c r="D41" s="84" t="s">
        <v>681</v>
      </c>
      <c r="E41" s="88"/>
      <c r="F41" s="89"/>
      <c r="G41" s="84"/>
      <c r="H41" s="90">
        <f>SUM(H42:H45)</f>
        <v>140993.43</v>
      </c>
    </row>
    <row r="42" spans="1:8" ht="45">
      <c r="A42" s="40" t="s">
        <v>682</v>
      </c>
      <c r="B42" s="41" t="s">
        <v>278</v>
      </c>
      <c r="C42" s="41" t="str">
        <f>VLOOKUP(B42,'Insumos e Serviços'!$A:$F,2,0)</f>
        <v>SINAPI</v>
      </c>
      <c r="D42" s="189" t="str">
        <f>VLOOKUP(B42,'Insumos e Serviços'!$A:$F,4,0)</f>
        <v>ALVENARIA DE VEDAÇÃO DE BLOCOS CERÂMICOS FURADOS NA HORIZONTAL DE 9X14X19CM (ESPESSURA 9CM) DE PAREDES COM ÁREA LÍQUIDA MENOR QUE 6M² COM VÃOS E ARGAMASSA DE ASSENTAMENTO COM PREPARO EM BETONEIRA. AF_06/2014</v>
      </c>
      <c r="E42" s="41" t="str">
        <f>VLOOKUP(B42,'Insumos e Serviços'!$A:$F,5,0)</f>
        <v>m²</v>
      </c>
      <c r="F42" s="42">
        <v>7</v>
      </c>
      <c r="G42" s="42">
        <f>VLOOKUP(B42,'Insumos e Serviços'!$A:$F,6,0)</f>
        <v>117.46</v>
      </c>
      <c r="H42" s="42">
        <f>TRUNC(F42*G42,2)</f>
        <v>822.22</v>
      </c>
    </row>
    <row r="43" spans="1:8" ht="33.75">
      <c r="A43" s="40" t="s">
        <v>683</v>
      </c>
      <c r="B43" s="41" t="s">
        <v>684</v>
      </c>
      <c r="C43" s="41" t="s">
        <v>160</v>
      </c>
      <c r="D43" s="189" t="s">
        <v>685</v>
      </c>
      <c r="E43" s="41" t="s">
        <v>166</v>
      </c>
      <c r="F43" s="42">
        <v>140</v>
      </c>
      <c r="G43" s="42">
        <f>VLOOKUP(A43,'Orçamento Analítico'!$A:$H,8,0)</f>
        <v>999.25</v>
      </c>
      <c r="H43" s="42">
        <f>TRUNC(F43*G43,2)</f>
        <v>139895</v>
      </c>
    </row>
    <row r="44" spans="1:8" ht="22.5">
      <c r="A44" s="40" t="s">
        <v>686</v>
      </c>
      <c r="B44" s="41" t="s">
        <v>280</v>
      </c>
      <c r="C44" s="41" t="str">
        <f>VLOOKUP(B44,'Insumos e Serviços'!$A:$F,2,0)</f>
        <v>SINAPI</v>
      </c>
      <c r="D44" s="189" t="str">
        <f>VLOOKUP(B44,'Insumos e Serviços'!$A:$F,4,0)</f>
        <v>FIXAÇÃO (ENCUNHAMENTO) DE ALVENARIA DE VEDAÇÃO COM TIJOLO MACIÇO. AF_03/2016</v>
      </c>
      <c r="E44" s="41" t="str">
        <f>VLOOKUP(B44,'Insumos e Serviços'!$A:$F,5,0)</f>
        <v>M</v>
      </c>
      <c r="F44" s="42">
        <v>3</v>
      </c>
      <c r="G44" s="42">
        <f>VLOOKUP(B44,'Insumos e Serviços'!$A:$F,6,0)</f>
        <v>25.51</v>
      </c>
      <c r="H44" s="42">
        <f>TRUNC(F44*G44,2)</f>
        <v>76.53</v>
      </c>
    </row>
    <row r="45" spans="1:8" ht="22.5">
      <c r="A45" s="40" t="s">
        <v>687</v>
      </c>
      <c r="B45" s="41" t="s">
        <v>282</v>
      </c>
      <c r="C45" s="41" t="str">
        <f>VLOOKUP(B45,'Insumos e Serviços'!$A:$F,2,0)</f>
        <v>SINAPI</v>
      </c>
      <c r="D45" s="189" t="str">
        <f>VLOOKUP(B45,'Insumos e Serviços'!$A:$F,4,0)</f>
        <v>CHUMBAMENTO LINEAR EM ALVENARIA PARA RAMAIS/DISTRIBUIÇÃO COM DIÂMETROS MENORES OU IGUAIS A 40 MM. AF_05/2015</v>
      </c>
      <c r="E45" s="41" t="str">
        <f>VLOOKUP(B45,'Insumos e Serviços'!$A:$F,5,0)</f>
        <v>M</v>
      </c>
      <c r="F45" s="42">
        <v>16</v>
      </c>
      <c r="G45" s="42">
        <f>VLOOKUP(B45,'Insumos e Serviços'!$A:$F,6,0)</f>
        <v>12.48</v>
      </c>
      <c r="H45" s="42">
        <f>TRUNC(F45*G45,2)</f>
        <v>199.68</v>
      </c>
    </row>
    <row r="46" spans="1:8" ht="12.75">
      <c r="A46" s="84" t="s">
        <v>688</v>
      </c>
      <c r="B46" s="88"/>
      <c r="C46" s="88"/>
      <c r="D46" s="84" t="s">
        <v>689</v>
      </c>
      <c r="E46" s="88"/>
      <c r="F46" s="89"/>
      <c r="G46" s="84"/>
      <c r="H46" s="90">
        <f>SUM(H47:H50)</f>
        <v>36049.51</v>
      </c>
    </row>
    <row r="47" spans="1:8" ht="22.5">
      <c r="A47" s="40" t="s">
        <v>690</v>
      </c>
      <c r="B47" s="41" t="s">
        <v>691</v>
      </c>
      <c r="C47" s="41" t="s">
        <v>160</v>
      </c>
      <c r="D47" s="189" t="s">
        <v>692</v>
      </c>
      <c r="E47" s="41" t="s">
        <v>161</v>
      </c>
      <c r="F47" s="42">
        <v>3</v>
      </c>
      <c r="G47" s="42">
        <f>VLOOKUP(A47,'Orçamento Analítico'!$A:$H,8,0)</f>
        <v>2113.92</v>
      </c>
      <c r="H47" s="42">
        <f>TRUNC(F47*G47,2)</f>
        <v>6341.76</v>
      </c>
    </row>
    <row r="48" spans="1:8" ht="22.5">
      <c r="A48" s="40" t="s">
        <v>693</v>
      </c>
      <c r="B48" s="41" t="s">
        <v>694</v>
      </c>
      <c r="C48" s="41" t="s">
        <v>160</v>
      </c>
      <c r="D48" s="189" t="s">
        <v>695</v>
      </c>
      <c r="E48" s="41" t="s">
        <v>161</v>
      </c>
      <c r="F48" s="42">
        <v>11</v>
      </c>
      <c r="G48" s="42">
        <f>VLOOKUP(A48,'Orçamento Analítico'!$A:$H,8,0)</f>
        <v>2006.8400000000001</v>
      </c>
      <c r="H48" s="42">
        <f>TRUNC(F48*G48,2)</f>
        <v>22075.24</v>
      </c>
    </row>
    <row r="49" spans="1:8" ht="22.5">
      <c r="A49" s="40" t="s">
        <v>696</v>
      </c>
      <c r="B49" s="41" t="s">
        <v>697</v>
      </c>
      <c r="C49" s="41" t="s">
        <v>160</v>
      </c>
      <c r="D49" s="189" t="s">
        <v>0</v>
      </c>
      <c r="E49" s="41" t="s">
        <v>161</v>
      </c>
      <c r="F49" s="42">
        <v>2</v>
      </c>
      <c r="G49" s="42">
        <f>VLOOKUP(A49,'Orçamento Analítico'!$A:$H,8,0)</f>
        <v>2930.1800000000003</v>
      </c>
      <c r="H49" s="42">
        <f>TRUNC(F49*G49,2)</f>
        <v>5860.36</v>
      </c>
    </row>
    <row r="50" spans="1:8" ht="33.75">
      <c r="A50" s="40" t="s">
        <v>1</v>
      </c>
      <c r="B50" s="41" t="s">
        <v>2</v>
      </c>
      <c r="C50" s="41" t="s">
        <v>160</v>
      </c>
      <c r="D50" s="189" t="s">
        <v>3</v>
      </c>
      <c r="E50" s="41" t="s">
        <v>161</v>
      </c>
      <c r="F50" s="42">
        <v>5</v>
      </c>
      <c r="G50" s="42">
        <f>VLOOKUP(A50,'Orçamento Analítico'!$A:$H,8,0)</f>
        <v>354.43</v>
      </c>
      <c r="H50" s="42">
        <f>TRUNC(F50*G50,2)</f>
        <v>1772.15</v>
      </c>
    </row>
    <row r="51" spans="1:8" ht="12.75">
      <c r="A51" s="84" t="s">
        <v>4</v>
      </c>
      <c r="B51" s="88"/>
      <c r="C51" s="88"/>
      <c r="D51" s="84" t="s">
        <v>5</v>
      </c>
      <c r="E51" s="88"/>
      <c r="F51" s="89"/>
      <c r="G51" s="84"/>
      <c r="H51" s="90">
        <f>SUM(H52:H54)</f>
        <v>13861.17</v>
      </c>
    </row>
    <row r="52" spans="1:8" ht="22.5">
      <c r="A52" s="40" t="s">
        <v>6</v>
      </c>
      <c r="B52" s="41" t="s">
        <v>7</v>
      </c>
      <c r="C52" s="41" t="s">
        <v>160</v>
      </c>
      <c r="D52" s="189" t="s">
        <v>8</v>
      </c>
      <c r="E52" s="41" t="s">
        <v>166</v>
      </c>
      <c r="F52" s="42">
        <v>29</v>
      </c>
      <c r="G52" s="42">
        <f>VLOOKUP(A52,'Orçamento Analítico'!$A:$H,8,0)</f>
        <v>330.67</v>
      </c>
      <c r="H52" s="42">
        <f>TRUNC(F52*G52,2)</f>
        <v>9589.43</v>
      </c>
    </row>
    <row r="53" spans="1:8" ht="22.5">
      <c r="A53" s="40" t="s">
        <v>9</v>
      </c>
      <c r="B53" s="41" t="s">
        <v>284</v>
      </c>
      <c r="C53" s="41" t="str">
        <f>VLOOKUP(B53,'Insumos e Serviços'!$A:$F,2,0)</f>
        <v>SINAPI</v>
      </c>
      <c r="D53" s="189" t="str">
        <f>VLOOKUP(B53,'Insumos e Serviços'!$A:$F,4,0)</f>
        <v>INSTALAÇÃO DE VIDRO TEMPERADO, E = 10 MM, ENCAIXADO EM PERFIL U. AF_01/2021_P</v>
      </c>
      <c r="E53" s="41" t="str">
        <f>VLOOKUP(B53,'Insumos e Serviços'!$A:$F,5,0)</f>
        <v>m²</v>
      </c>
      <c r="F53" s="42">
        <v>11</v>
      </c>
      <c r="G53" s="42">
        <f>VLOOKUP(B53,'Insumos e Serviços'!$A:$F,6,0)</f>
        <v>323.74</v>
      </c>
      <c r="H53" s="42">
        <f>TRUNC(F53*G53,2)</f>
        <v>3561.14</v>
      </c>
    </row>
    <row r="54" spans="1:8" ht="22.5">
      <c r="A54" s="40" t="s">
        <v>10</v>
      </c>
      <c r="B54" s="41" t="s">
        <v>11</v>
      </c>
      <c r="C54" s="41" t="s">
        <v>160</v>
      </c>
      <c r="D54" s="189" t="s">
        <v>12</v>
      </c>
      <c r="E54" s="41" t="s">
        <v>166</v>
      </c>
      <c r="F54" s="42">
        <v>34</v>
      </c>
      <c r="G54" s="42">
        <f>VLOOKUP(A54,'Orçamento Analítico'!$A:$H,8,0)</f>
        <v>20.9</v>
      </c>
      <c r="H54" s="42">
        <f>TRUNC(F54*G54,2)</f>
        <v>710.6</v>
      </c>
    </row>
    <row r="55" spans="1:8" ht="12.75">
      <c r="A55" s="84" t="s">
        <v>13</v>
      </c>
      <c r="B55" s="88"/>
      <c r="C55" s="88"/>
      <c r="D55" s="84" t="s">
        <v>14</v>
      </c>
      <c r="E55" s="88"/>
      <c r="F55" s="89"/>
      <c r="G55" s="84"/>
      <c r="H55" s="90">
        <f>SUM(H56:H65)</f>
        <v>35086.85</v>
      </c>
    </row>
    <row r="56" spans="1:8" ht="22.5">
      <c r="A56" s="40" t="s">
        <v>15</v>
      </c>
      <c r="B56" s="41" t="s">
        <v>16</v>
      </c>
      <c r="C56" s="41" t="s">
        <v>160</v>
      </c>
      <c r="D56" s="189" t="s">
        <v>17</v>
      </c>
      <c r="E56" s="41" t="s">
        <v>166</v>
      </c>
      <c r="F56" s="42">
        <v>284</v>
      </c>
      <c r="G56" s="42">
        <f>VLOOKUP(A56,'Orçamento Analítico'!$A:$H,8,0)</f>
        <v>51.650000000000006</v>
      </c>
      <c r="H56" s="42">
        <f aca="true" t="shared" si="1" ref="H56:H65">TRUNC(F56*G56,2)</f>
        <v>14668.6</v>
      </c>
    </row>
    <row r="57" spans="1:8" ht="22.5">
      <c r="A57" s="40" t="s">
        <v>18</v>
      </c>
      <c r="B57" s="41" t="s">
        <v>19</v>
      </c>
      <c r="C57" s="41" t="s">
        <v>160</v>
      </c>
      <c r="D57" s="189" t="s">
        <v>20</v>
      </c>
      <c r="E57" s="41" t="s">
        <v>177</v>
      </c>
      <c r="F57" s="42">
        <v>3</v>
      </c>
      <c r="G57" s="42">
        <f>VLOOKUP(A57,'Orçamento Analítico'!$A:$H,8,0)</f>
        <v>72.38</v>
      </c>
      <c r="H57" s="42">
        <f t="shared" si="1"/>
        <v>217.14</v>
      </c>
    </row>
    <row r="58" spans="1:8" ht="22.5">
      <c r="A58" s="40" t="s">
        <v>21</v>
      </c>
      <c r="B58" s="41" t="s">
        <v>22</v>
      </c>
      <c r="C58" s="41" t="s">
        <v>160</v>
      </c>
      <c r="D58" s="189" t="s">
        <v>23</v>
      </c>
      <c r="E58" s="41" t="s">
        <v>166</v>
      </c>
      <c r="F58" s="42">
        <v>3</v>
      </c>
      <c r="G58" s="42">
        <f>VLOOKUP(A58,'Orçamento Analítico'!$A:$H,8,0)</f>
        <v>155.33</v>
      </c>
      <c r="H58" s="42">
        <f t="shared" si="1"/>
        <v>465.99</v>
      </c>
    </row>
    <row r="59" spans="1:8" ht="22.5">
      <c r="A59" s="40" t="s">
        <v>24</v>
      </c>
      <c r="B59" s="41" t="s">
        <v>286</v>
      </c>
      <c r="C59" s="41" t="str">
        <f>VLOOKUP(B59,'Insumos e Serviços'!$A:$F,2,0)</f>
        <v>SINAPI</v>
      </c>
      <c r="D59" s="189" t="str">
        <f>VLOOKUP(B59,'Insumos e Serviços'!$A:$F,4,0)</f>
        <v>LASTRO DE CONCRETO MAGRO, APLICADO EM PISOS, LAJES SOBRE SOLO OU RADIERS, ESPESSURA DE 5 CM. AF_07/2016</v>
      </c>
      <c r="E59" s="41" t="str">
        <f>VLOOKUP(B59,'Insumos e Serviços'!$A:$F,5,0)</f>
        <v>m²</v>
      </c>
      <c r="F59" s="42">
        <v>3</v>
      </c>
      <c r="G59" s="42">
        <f>VLOOKUP(B59,'Insumos e Serviços'!$A:$F,6,0)</f>
        <v>31.5</v>
      </c>
      <c r="H59" s="42">
        <f t="shared" si="1"/>
        <v>94.5</v>
      </c>
    </row>
    <row r="60" spans="1:8" ht="22.5">
      <c r="A60" s="40" t="s">
        <v>25</v>
      </c>
      <c r="B60" s="41" t="s">
        <v>26</v>
      </c>
      <c r="C60" s="41" t="s">
        <v>160</v>
      </c>
      <c r="D60" s="189" t="s">
        <v>27</v>
      </c>
      <c r="E60" s="41" t="s">
        <v>166</v>
      </c>
      <c r="F60" s="42">
        <v>3</v>
      </c>
      <c r="G60" s="42">
        <f>VLOOKUP(A60,'Orçamento Analítico'!$A:$H,8,0)</f>
        <v>12.05</v>
      </c>
      <c r="H60" s="42">
        <f t="shared" si="1"/>
        <v>36.15</v>
      </c>
    </row>
    <row r="61" spans="1:8" ht="22.5">
      <c r="A61" s="40" t="s">
        <v>28</v>
      </c>
      <c r="B61" s="41" t="s">
        <v>29</v>
      </c>
      <c r="C61" s="41" t="s">
        <v>160</v>
      </c>
      <c r="D61" s="189" t="s">
        <v>30</v>
      </c>
      <c r="E61" s="41" t="s">
        <v>166</v>
      </c>
      <c r="F61" s="42">
        <v>217</v>
      </c>
      <c r="G61" s="42">
        <f>VLOOKUP(A61,'Orçamento Analítico'!$A:$H,8,0)</f>
        <v>28.32</v>
      </c>
      <c r="H61" s="42">
        <f t="shared" si="1"/>
        <v>6145.44</v>
      </c>
    </row>
    <row r="62" spans="1:8" ht="22.5">
      <c r="A62" s="40" t="s">
        <v>31</v>
      </c>
      <c r="B62" s="41" t="s">
        <v>32</v>
      </c>
      <c r="C62" s="41" t="s">
        <v>160</v>
      </c>
      <c r="D62" s="189" t="s">
        <v>33</v>
      </c>
      <c r="E62" s="41" t="s">
        <v>166</v>
      </c>
      <c r="F62" s="42">
        <v>20</v>
      </c>
      <c r="G62" s="42">
        <f>VLOOKUP(A62,'Orçamento Analítico'!$A:$H,8,0)</f>
        <v>97.55000000000001</v>
      </c>
      <c r="H62" s="42">
        <f t="shared" si="1"/>
        <v>1951</v>
      </c>
    </row>
    <row r="63" spans="1:8" ht="22.5">
      <c r="A63" s="40" t="s">
        <v>34</v>
      </c>
      <c r="B63" s="41" t="s">
        <v>35</v>
      </c>
      <c r="C63" s="41" t="s">
        <v>160</v>
      </c>
      <c r="D63" s="189" t="s">
        <v>36</v>
      </c>
      <c r="E63" s="41" t="s">
        <v>166</v>
      </c>
      <c r="F63" s="42">
        <v>47</v>
      </c>
      <c r="G63" s="42">
        <f>VLOOKUP(A63,'Orçamento Analítico'!$A:$H,8,0)</f>
        <v>103.22999999999999</v>
      </c>
      <c r="H63" s="42">
        <f t="shared" si="1"/>
        <v>4851.81</v>
      </c>
    </row>
    <row r="64" spans="1:8" ht="22.5">
      <c r="A64" s="40" t="s">
        <v>37</v>
      </c>
      <c r="B64" s="41" t="s">
        <v>38</v>
      </c>
      <c r="C64" s="41" t="s">
        <v>160</v>
      </c>
      <c r="D64" s="189" t="s">
        <v>39</v>
      </c>
      <c r="E64" s="41" t="s">
        <v>177</v>
      </c>
      <c r="F64" s="42">
        <v>66</v>
      </c>
      <c r="G64" s="42">
        <f>VLOOKUP(A64,'Orçamento Analítico'!$A:$H,8,0)</f>
        <v>35.63</v>
      </c>
      <c r="H64" s="42">
        <f t="shared" si="1"/>
        <v>2351.58</v>
      </c>
    </row>
    <row r="65" spans="1:8" ht="22.5">
      <c r="A65" s="40" t="s">
        <v>40</v>
      </c>
      <c r="B65" s="41" t="s">
        <v>41</v>
      </c>
      <c r="C65" s="41" t="s">
        <v>160</v>
      </c>
      <c r="D65" s="189" t="s">
        <v>712</v>
      </c>
      <c r="E65" s="41" t="s">
        <v>177</v>
      </c>
      <c r="F65" s="42">
        <v>128</v>
      </c>
      <c r="G65" s="42">
        <f>VLOOKUP(A65,'Orçamento Analítico'!$A:$H,8,0)</f>
        <v>33.63</v>
      </c>
      <c r="H65" s="42">
        <f t="shared" si="1"/>
        <v>4304.64</v>
      </c>
    </row>
    <row r="66" spans="1:8" ht="12.75">
      <c r="A66" s="84" t="s">
        <v>713</v>
      </c>
      <c r="B66" s="88"/>
      <c r="C66" s="88"/>
      <c r="D66" s="84" t="s">
        <v>714</v>
      </c>
      <c r="E66" s="88"/>
      <c r="F66" s="89"/>
      <c r="G66" s="84"/>
      <c r="H66" s="90">
        <f>SUM(H67:H75)</f>
        <v>36155.240000000005</v>
      </c>
    </row>
    <row r="67" spans="1:8" ht="33.75">
      <c r="A67" s="40" t="s">
        <v>715</v>
      </c>
      <c r="B67" s="41" t="s">
        <v>288</v>
      </c>
      <c r="C67" s="41" t="str">
        <f>VLOOKUP(B67,'Insumos e Serviços'!$A:$F,2,0)</f>
        <v>SINAPI</v>
      </c>
      <c r="D67" s="189" t="str">
        <f>VLOOKUP(B67,'Insumos e Serviços'!$A:$F,4,0)</f>
        <v>CHAPISCO APLICADO EM ALVENARIAS E ESTRUTURAS DE CONCRETO INTERNAS, COM COLHER DE PEDREIRO.  ARGAMASSA TRAÇO 1:3 COM PREPARO EM BETONEIRA 400L. AF_06/2014</v>
      </c>
      <c r="E67" s="41" t="str">
        <f>VLOOKUP(B67,'Insumos e Serviços'!$A:$F,5,0)</f>
        <v>m²</v>
      </c>
      <c r="F67" s="42">
        <v>13</v>
      </c>
      <c r="G67" s="42">
        <f>VLOOKUP(B67,'Insumos e Serviços'!$A:$F,6,0)</f>
        <v>3.94</v>
      </c>
      <c r="H67" s="42">
        <f aca="true" t="shared" si="2" ref="H67:H75">TRUNC(F67*G67,2)</f>
        <v>51.22</v>
      </c>
    </row>
    <row r="68" spans="1:8" ht="45">
      <c r="A68" s="40" t="s">
        <v>716</v>
      </c>
      <c r="B68" s="41" t="s">
        <v>185</v>
      </c>
      <c r="C68" s="41" t="str">
        <f>VLOOKUP(B68,'Insumos e Serviços'!$A:$F,2,0)</f>
        <v>SINAPI</v>
      </c>
      <c r="D68" s="189" t="str">
        <f>VLOOKUP(B68,'Insumos e Serviços'!$A:$F,4,0)</f>
        <v>(COMPOSIÇÃO REPRESENTATIVA) DO SERVIÇO DE EMBOÇO/MASSA ÚNICA, APLICADO MANUALMENTE, TRAÇO 1:2:8, EM BETONEIRA DE 400L, PAREDES INTERNAS, COM EXECUÇÃO DE TALISCAS, EDIFICAÇÃO HABITACIONAL UNIFAMILIAR (CASAS) E EDIFICAÇÃO PÚBLICA PADRÃO. AF_12/2014</v>
      </c>
      <c r="E68" s="41" t="str">
        <f>VLOOKUP(B68,'Insumos e Serviços'!$A:$F,5,0)</f>
        <v>m²</v>
      </c>
      <c r="F68" s="42">
        <v>13</v>
      </c>
      <c r="G68" s="42">
        <f>VLOOKUP(B68,'Insumos e Serviços'!$A:$F,6,0)</f>
        <v>35.96</v>
      </c>
      <c r="H68" s="42">
        <f t="shared" si="2"/>
        <v>467.48</v>
      </c>
    </row>
    <row r="69" spans="1:8" ht="22.5">
      <c r="A69" s="40" t="s">
        <v>717</v>
      </c>
      <c r="B69" s="41" t="s">
        <v>718</v>
      </c>
      <c r="C69" s="41" t="s">
        <v>160</v>
      </c>
      <c r="D69" s="189" t="s">
        <v>719</v>
      </c>
      <c r="E69" s="41" t="s">
        <v>166</v>
      </c>
      <c r="F69" s="42">
        <v>29</v>
      </c>
      <c r="G69" s="42">
        <f>VLOOKUP(A69,'Orçamento Analítico'!$A:$H,8,0)</f>
        <v>182.15</v>
      </c>
      <c r="H69" s="42">
        <f t="shared" si="2"/>
        <v>5282.35</v>
      </c>
    </row>
    <row r="70" spans="1:8" ht="22.5">
      <c r="A70" s="40" t="s">
        <v>720</v>
      </c>
      <c r="B70" s="41" t="s">
        <v>721</v>
      </c>
      <c r="C70" s="41" t="s">
        <v>160</v>
      </c>
      <c r="D70" s="189" t="s">
        <v>722</v>
      </c>
      <c r="E70" s="41" t="s">
        <v>166</v>
      </c>
      <c r="F70" s="42">
        <v>352</v>
      </c>
      <c r="G70" s="42">
        <f>VLOOKUP(A70,'Orçamento Analítico'!$A:$H,8,0)</f>
        <v>59.45</v>
      </c>
      <c r="H70" s="42">
        <f t="shared" si="2"/>
        <v>20926.4</v>
      </c>
    </row>
    <row r="71" spans="1:8" ht="22.5">
      <c r="A71" s="40" t="s">
        <v>723</v>
      </c>
      <c r="B71" s="41" t="s">
        <v>724</v>
      </c>
      <c r="C71" s="41" t="s">
        <v>160</v>
      </c>
      <c r="D71" s="189" t="s">
        <v>725</v>
      </c>
      <c r="E71" s="41" t="s">
        <v>166</v>
      </c>
      <c r="F71" s="42">
        <v>2</v>
      </c>
      <c r="G71" s="42">
        <f>VLOOKUP(A71,'Orçamento Analítico'!$A:$H,8,0)</f>
        <v>56.129999999999995</v>
      </c>
      <c r="H71" s="42">
        <f t="shared" si="2"/>
        <v>112.26</v>
      </c>
    </row>
    <row r="72" spans="1:8" ht="22.5">
      <c r="A72" s="40" t="s">
        <v>726</v>
      </c>
      <c r="B72" s="41" t="s">
        <v>727</v>
      </c>
      <c r="C72" s="41" t="s">
        <v>160</v>
      </c>
      <c r="D72" s="189" t="s">
        <v>728</v>
      </c>
      <c r="E72" s="41" t="s">
        <v>166</v>
      </c>
      <c r="F72" s="42">
        <v>46</v>
      </c>
      <c r="G72" s="42">
        <f>VLOOKUP(A72,'Orçamento Analítico'!$A:$H,8,0)</f>
        <v>134.9</v>
      </c>
      <c r="H72" s="42">
        <f t="shared" si="2"/>
        <v>6205.4</v>
      </c>
    </row>
    <row r="73" spans="1:8" ht="33.75">
      <c r="A73" s="40" t="s">
        <v>729</v>
      </c>
      <c r="B73" s="41" t="s">
        <v>730</v>
      </c>
      <c r="C73" s="41" t="s">
        <v>160</v>
      </c>
      <c r="D73" s="189" t="s">
        <v>731</v>
      </c>
      <c r="E73" s="41" t="s">
        <v>166</v>
      </c>
      <c r="F73" s="42">
        <v>1</v>
      </c>
      <c r="G73" s="42">
        <f>VLOOKUP(A73,'Orçamento Analítico'!$A:$H,8,0)</f>
        <v>183.61</v>
      </c>
      <c r="H73" s="42">
        <f t="shared" si="2"/>
        <v>183.61</v>
      </c>
    </row>
    <row r="74" spans="1:8" s="80" customFormat="1" ht="22.5">
      <c r="A74" s="40" t="s">
        <v>732</v>
      </c>
      <c r="B74" s="41" t="s">
        <v>291</v>
      </c>
      <c r="C74" s="41" t="str">
        <f>VLOOKUP(B74,'Insumos e Serviços'!$A:$F,2,0)</f>
        <v>SINAPI</v>
      </c>
      <c r="D74" s="189" t="str">
        <f>VLOOKUP(B74,'Insumos e Serviços'!$A:$F,4,0)</f>
        <v>APLICAÇÃO MANUAL DE GESSO DESEMPENADO (SEM TALISCAS) EM PAREDES DE AMBIENTES DE ÁREA ENTRE 5M² E 10M², ESPESSURA DE 1,0CM. AF_06/2014</v>
      </c>
      <c r="E74" s="41" t="str">
        <f>VLOOKUP(B74,'Insumos e Serviços'!$A:$F,5,0)</f>
        <v>m²</v>
      </c>
      <c r="F74" s="42">
        <v>92</v>
      </c>
      <c r="G74" s="42">
        <f>VLOOKUP(B74,'Insumos e Serviços'!$A:$F,6,0)</f>
        <v>24.36</v>
      </c>
      <c r="H74" s="42">
        <f t="shared" si="2"/>
        <v>2241.12</v>
      </c>
    </row>
    <row r="75" spans="1:8" s="80" customFormat="1" ht="11.25">
      <c r="A75" s="40" t="s">
        <v>733</v>
      </c>
      <c r="B75" s="41" t="s">
        <v>293</v>
      </c>
      <c r="C75" s="41" t="str">
        <f>VLOOKUP(B75,'Insumos e Serviços'!$A:$F,2,0)</f>
        <v>SINAPI</v>
      </c>
      <c r="D75" s="189" t="str">
        <f>VLOOKUP(B75,'Insumos e Serviços'!$A:$F,4,0)</f>
        <v>LIXAMENTO DE MASSA PARA MADEIRA. AF_01/2021</v>
      </c>
      <c r="E75" s="41" t="str">
        <f>VLOOKUP(B75,'Insumos e Serviços'!$A:$F,5,0)</f>
        <v>m²</v>
      </c>
      <c r="F75" s="42">
        <v>92</v>
      </c>
      <c r="G75" s="42">
        <f>VLOOKUP(B75,'Insumos e Serviços'!$A:$F,6,0)</f>
        <v>7.45</v>
      </c>
      <c r="H75" s="42">
        <f t="shared" si="2"/>
        <v>685.4</v>
      </c>
    </row>
    <row r="76" spans="1:8" ht="12.75">
      <c r="A76" s="84" t="s">
        <v>734</v>
      </c>
      <c r="B76" s="88"/>
      <c r="C76" s="88"/>
      <c r="D76" s="84" t="s">
        <v>735</v>
      </c>
      <c r="E76" s="88"/>
      <c r="F76" s="89"/>
      <c r="G76" s="84"/>
      <c r="H76" s="90">
        <f>SUM(H77:H78)</f>
        <v>12908.82</v>
      </c>
    </row>
    <row r="77" spans="1:8" ht="22.5">
      <c r="A77" s="40" t="s">
        <v>736</v>
      </c>
      <c r="B77" s="41" t="s">
        <v>295</v>
      </c>
      <c r="C77" s="41" t="str">
        <f>VLOOKUP(B77,'Insumos e Serviços'!$A:$F,2,0)</f>
        <v>SINAPI</v>
      </c>
      <c r="D77" s="189" t="str">
        <f>VLOOKUP(B77,'Insumos e Serviços'!$A:$F,4,0)</f>
        <v>FORRO EM DRYWALL, PARA AMBIENTES COMERCIAIS, INCLUSIVE ESTRUTURA DE FIXAÇÃO. AF_05/2017_P</v>
      </c>
      <c r="E77" s="41" t="str">
        <f>VLOOKUP(B77,'Insumos e Serviços'!$A:$F,5,0)</f>
        <v>m²</v>
      </c>
      <c r="F77" s="42">
        <v>150</v>
      </c>
      <c r="G77" s="42">
        <f>VLOOKUP(B77,'Insumos e Serviços'!$A:$F,6,0)</f>
        <v>67.91</v>
      </c>
      <c r="H77" s="42">
        <f>TRUNC(F77*G77,2)</f>
        <v>10186.5</v>
      </c>
    </row>
    <row r="78" spans="1:8" ht="22.5">
      <c r="A78" s="40" t="s">
        <v>737</v>
      </c>
      <c r="B78" s="41" t="s">
        <v>738</v>
      </c>
      <c r="C78" s="41" t="s">
        <v>160</v>
      </c>
      <c r="D78" s="189" t="s">
        <v>739</v>
      </c>
      <c r="E78" s="41" t="s">
        <v>167</v>
      </c>
      <c r="F78" s="42">
        <v>199</v>
      </c>
      <c r="G78" s="42">
        <f>VLOOKUP(A78,'Orçamento Analítico'!$A:$H,8,0)</f>
        <v>13.68</v>
      </c>
      <c r="H78" s="42">
        <f>TRUNC(F78*G78,2)</f>
        <v>2722.32</v>
      </c>
    </row>
    <row r="79" spans="1:8" ht="12.75">
      <c r="A79" s="84" t="s">
        <v>740</v>
      </c>
      <c r="B79" s="88"/>
      <c r="C79" s="88"/>
      <c r="D79" s="84" t="s">
        <v>187</v>
      </c>
      <c r="E79" s="88"/>
      <c r="F79" s="89"/>
      <c r="G79" s="84"/>
      <c r="H79" s="90">
        <f>SUM(H80:H87)</f>
        <v>38753.61</v>
      </c>
    </row>
    <row r="80" spans="1:8" s="80" customFormat="1" ht="22.5">
      <c r="A80" s="40" t="s">
        <v>741</v>
      </c>
      <c r="B80" s="41" t="s">
        <v>189</v>
      </c>
      <c r="C80" s="41" t="str">
        <f>VLOOKUP(B80,'Insumos e Serviços'!$A:$F,2,0)</f>
        <v>SINAPI</v>
      </c>
      <c r="D80" s="189" t="str">
        <f>VLOOKUP(B80,'Insumos e Serviços'!$A:$F,4,0)</f>
        <v>APLICAÇÃO MANUAL DE PINTURA COM TINTA LÁTEX ACRÍLICA EM TETO, DUAS DEMÃOS. AF_06/2014</v>
      </c>
      <c r="E80" s="41" t="str">
        <f>VLOOKUP(B80,'Insumos e Serviços'!$A:$F,5,0)</f>
        <v>m²</v>
      </c>
      <c r="F80" s="42">
        <v>158</v>
      </c>
      <c r="G80" s="42">
        <f>VLOOKUP(B80,'Insumos e Serviços'!$A:$F,6,0)</f>
        <v>15.92</v>
      </c>
      <c r="H80" s="42">
        <f aca="true" t="shared" si="3" ref="H80:H87">TRUNC(F80*G80,2)</f>
        <v>2515.36</v>
      </c>
    </row>
    <row r="81" spans="1:8" s="80" customFormat="1" ht="22.5">
      <c r="A81" s="40" t="s">
        <v>742</v>
      </c>
      <c r="B81" s="41" t="s">
        <v>186</v>
      </c>
      <c r="C81" s="41" t="str">
        <f>VLOOKUP(B81,'Insumos e Serviços'!$A:$F,2,0)</f>
        <v>SINAPI</v>
      </c>
      <c r="D81" s="189" t="str">
        <f>VLOOKUP(B81,'Insumos e Serviços'!$A:$F,4,0)</f>
        <v>APLICAÇÃO E LIXAMENTO DE MASSA LÁTEX EM TETO, DUAS DEMÃOS. AF_06/2014</v>
      </c>
      <c r="E81" s="41" t="str">
        <f>VLOOKUP(B81,'Insumos e Serviços'!$A:$F,5,0)</f>
        <v>m²</v>
      </c>
      <c r="F81" s="42">
        <v>158</v>
      </c>
      <c r="G81" s="42">
        <f>VLOOKUP(B81,'Insumos e Serviços'!$A:$F,6,0)</f>
        <v>28.23</v>
      </c>
      <c r="H81" s="42">
        <f t="shared" si="3"/>
        <v>4460.34</v>
      </c>
    </row>
    <row r="82" spans="1:8" ht="22.5">
      <c r="A82" s="40" t="s">
        <v>743</v>
      </c>
      <c r="B82" s="41" t="s">
        <v>188</v>
      </c>
      <c r="C82" s="41" t="str">
        <f>VLOOKUP(B82,'Insumos e Serviços'!$A:$F,2,0)</f>
        <v>SINAPI</v>
      </c>
      <c r="D82" s="189" t="str">
        <f>VLOOKUP(B82,'Insumos e Serviços'!$A:$F,4,0)</f>
        <v>APLICAÇÃO MANUAL DE PINTURA COM TINTA LÁTEX ACRÍLICA EM PAREDES, DUAS DEMÃOS. AF_06/2014</v>
      </c>
      <c r="E82" s="41" t="str">
        <f>VLOOKUP(B82,'Insumos e Serviços'!$A:$F,5,0)</f>
        <v>m²</v>
      </c>
      <c r="F82" s="42">
        <v>1000</v>
      </c>
      <c r="G82" s="42">
        <f>VLOOKUP(B82,'Insumos e Serviços'!$A:$F,6,0)</f>
        <v>14.06</v>
      </c>
      <c r="H82" s="42">
        <f t="shared" si="3"/>
        <v>14060</v>
      </c>
    </row>
    <row r="83" spans="1:8" ht="22.5">
      <c r="A83" s="40" t="s">
        <v>744</v>
      </c>
      <c r="B83" s="41" t="s">
        <v>300</v>
      </c>
      <c r="C83" s="41" t="str">
        <f>VLOOKUP(B83,'Insumos e Serviços'!$A:$F,2,0)</f>
        <v>SINAPI</v>
      </c>
      <c r="D83" s="189" t="str">
        <f>VLOOKUP(B83,'Insumos e Serviços'!$A:$F,4,0)</f>
        <v>APLICAÇÃO E LIXAMENTO DE MASSA LÁTEX EM PAREDES, DUAS DEMÃOS. AF_06/2014</v>
      </c>
      <c r="E83" s="41" t="str">
        <f>VLOOKUP(B83,'Insumos e Serviços'!$A:$F,5,0)</f>
        <v>m²</v>
      </c>
      <c r="F83" s="42">
        <v>428</v>
      </c>
      <c r="G83" s="42">
        <f>VLOOKUP(B83,'Insumos e Serviços'!$A:$F,6,0)</f>
        <v>16.33</v>
      </c>
      <c r="H83" s="42">
        <f t="shared" si="3"/>
        <v>6989.24</v>
      </c>
    </row>
    <row r="84" spans="1:8" ht="33.75">
      <c r="A84" s="40" t="s">
        <v>745</v>
      </c>
      <c r="B84" s="41" t="s">
        <v>190</v>
      </c>
      <c r="C84" s="41" t="str">
        <f>VLOOKUP(B84,'Insumos e Serviços'!$A:$F,2,0)</f>
        <v>SINAPI</v>
      </c>
      <c r="D84" s="189" t="str">
        <f>VLOOKUP(B84,'Insumos e Serviços'!$A:$F,4,0)</f>
        <v>PINTURA COM TINTA ALQUÍDICA DE ACABAMENTO (ESMALTE SINTÉTICO ACETINADO) APLICADA A ROLO OU PINCEL SOBRE SUPERFÍCIES METÁLICAS (EXCETO PERFIL) EXECUTADO EM OBRA (02 DEMÃOS). AF_01/2020</v>
      </c>
      <c r="E84" s="41" t="str">
        <f>VLOOKUP(B84,'Insumos e Serviços'!$A:$F,5,0)</f>
        <v>m²</v>
      </c>
      <c r="F84" s="42">
        <v>90</v>
      </c>
      <c r="G84" s="42">
        <f>VLOOKUP(B84,'Insumos e Serviços'!$A:$F,6,0)</f>
        <v>45.58</v>
      </c>
      <c r="H84" s="42">
        <f t="shared" si="3"/>
        <v>4102.2</v>
      </c>
    </row>
    <row r="85" spans="1:8" ht="33.75">
      <c r="A85" s="40" t="s">
        <v>746</v>
      </c>
      <c r="B85" s="41" t="s">
        <v>303</v>
      </c>
      <c r="C85" s="41" t="str">
        <f>VLOOKUP(B85,'Insumos e Serviços'!$A:$F,2,0)</f>
        <v>SINAPI</v>
      </c>
      <c r="D85" s="189" t="str">
        <f>VLOOKUP(B85,'Insumos e Serviços'!$A:$F,4,0)</f>
        <v>PINTURA COM TINTA ALQUÍDICA DE FUNDO (TIPO ZARCÃO) APLICADA A ROLO OU PINCEL SOBRE SUPERFÍCIES METÁLICAS (EXCETO PERFIL) EXECUTADO EM OBRA (POR DEMÃO). AF_01/2020</v>
      </c>
      <c r="E85" s="41" t="str">
        <f>VLOOKUP(B85,'Insumos e Serviços'!$A:$F,5,0)</f>
        <v>m²</v>
      </c>
      <c r="F85" s="42">
        <v>90</v>
      </c>
      <c r="G85" s="42">
        <f>VLOOKUP(B85,'Insumos e Serviços'!$A:$F,6,0)</f>
        <v>22.26</v>
      </c>
      <c r="H85" s="42">
        <f t="shared" si="3"/>
        <v>2003.4</v>
      </c>
    </row>
    <row r="86" spans="1:8" ht="12.75">
      <c r="A86" s="40" t="s">
        <v>747</v>
      </c>
      <c r="B86" s="41" t="s">
        <v>748</v>
      </c>
      <c r="C86" s="41" t="s">
        <v>160</v>
      </c>
      <c r="D86" s="189" t="s">
        <v>749</v>
      </c>
      <c r="E86" s="41" t="s">
        <v>166</v>
      </c>
      <c r="F86" s="42">
        <v>176</v>
      </c>
      <c r="G86" s="42">
        <f>VLOOKUP(A86,'Orçamento Analítico'!$A:$H,8,0)</f>
        <v>25.61</v>
      </c>
      <c r="H86" s="42">
        <f t="shared" si="3"/>
        <v>4507.36</v>
      </c>
    </row>
    <row r="87" spans="1:8" ht="12.75">
      <c r="A87" s="40" t="s">
        <v>750</v>
      </c>
      <c r="B87" s="41" t="s">
        <v>305</v>
      </c>
      <c r="C87" s="41" t="str">
        <f>VLOOKUP(B87,'Insumos e Serviços'!$A:$F,2,0)</f>
        <v>SINAPI</v>
      </c>
      <c r="D87" s="189" t="str">
        <f>VLOOKUP(B87,'Insumos e Serviços'!$A:$F,4,0)</f>
        <v>PINTURA ACRILICA EM PISO CIMENTADO DUAS DEMAOS</v>
      </c>
      <c r="E87" s="41" t="str">
        <f>VLOOKUP(B87,'Insumos e Serviços'!$A:$F,5,0)</f>
        <v>m²</v>
      </c>
      <c r="F87" s="42">
        <v>7</v>
      </c>
      <c r="G87" s="42">
        <f>VLOOKUP(B87,'Insumos e Serviços'!$A:$F,6,0)</f>
        <v>16.53</v>
      </c>
      <c r="H87" s="42">
        <f t="shared" si="3"/>
        <v>115.71</v>
      </c>
    </row>
    <row r="88" spans="1:8" ht="12.75">
      <c r="A88" s="84" t="s">
        <v>751</v>
      </c>
      <c r="B88" s="88"/>
      <c r="C88" s="88"/>
      <c r="D88" s="84" t="s">
        <v>752</v>
      </c>
      <c r="E88" s="88"/>
      <c r="F88" s="89"/>
      <c r="G88" s="84"/>
      <c r="H88" s="90">
        <f>SUM(H89)</f>
        <v>2505.42</v>
      </c>
    </row>
    <row r="89" spans="1:8" ht="22.5">
      <c r="A89" s="40" t="s">
        <v>753</v>
      </c>
      <c r="B89" s="41" t="s">
        <v>307</v>
      </c>
      <c r="C89" s="41" t="str">
        <f>VLOOKUP(B89,'Insumos e Serviços'!$A:$F,2,0)</f>
        <v>SINAPI</v>
      </c>
      <c r="D89" s="189" t="str">
        <f>VLOOKUP(B89,'Insumos e Serviços'!$A:$F,4,0)</f>
        <v>IMPERMEABILIZAÇÃO DE SUPERFÍCIE COM ARGAMASSA POLIMÉRICA / MEMBRANA ACRÍLICA, 3 DEMÃOS. AF_06/2018</v>
      </c>
      <c r="E89" s="41" t="str">
        <f>VLOOKUP(B89,'Insumos e Serviços'!$A:$F,5,0)</f>
        <v>m²</v>
      </c>
      <c r="F89" s="42">
        <v>93</v>
      </c>
      <c r="G89" s="42">
        <f>VLOOKUP(B89,'Insumos e Serviços'!$A:$F,6,0)</f>
        <v>26.94</v>
      </c>
      <c r="H89" s="42">
        <f>TRUNC(F89*G89,2)</f>
        <v>2505.42</v>
      </c>
    </row>
    <row r="90" spans="1:8" ht="12.75">
      <c r="A90" s="84" t="s">
        <v>754</v>
      </c>
      <c r="B90" s="88"/>
      <c r="C90" s="88"/>
      <c r="D90" s="84" t="s">
        <v>755</v>
      </c>
      <c r="E90" s="88"/>
      <c r="F90" s="89"/>
      <c r="G90" s="84"/>
      <c r="H90" s="90">
        <f>SUM(H91:H93)</f>
        <v>2755.33</v>
      </c>
    </row>
    <row r="91" spans="1:8" ht="22.5">
      <c r="A91" s="40" t="s">
        <v>756</v>
      </c>
      <c r="B91" s="41" t="s">
        <v>757</v>
      </c>
      <c r="C91" s="41" t="s">
        <v>160</v>
      </c>
      <c r="D91" s="189" t="s">
        <v>758</v>
      </c>
      <c r="E91" s="41" t="s">
        <v>177</v>
      </c>
      <c r="F91" s="42">
        <v>11</v>
      </c>
      <c r="G91" s="42">
        <f>VLOOKUP(A91,'Orçamento Analítico'!$A:$H,8,0)</f>
        <v>16.52</v>
      </c>
      <c r="H91" s="42">
        <f>TRUNC(F91*G91,2)</f>
        <v>181.72</v>
      </c>
    </row>
    <row r="92" spans="1:8" ht="12.75">
      <c r="A92" s="40" t="s">
        <v>759</v>
      </c>
      <c r="B92" s="41" t="s">
        <v>309</v>
      </c>
      <c r="C92" s="41" t="str">
        <f>VLOOKUP(B92,'Insumos e Serviços'!$A:$F,2,0)</f>
        <v>SINAPI</v>
      </c>
      <c r="D92" s="189" t="str">
        <f>VLOOKUP(B92,'Insumos e Serviços'!$A:$F,4,0)</f>
        <v>SOLEIRA EM GRANITO, LARGURA 15 CM, ESPESSURA 2,0 CM. AF_06/2018</v>
      </c>
      <c r="E92" s="41" t="str">
        <f>VLOOKUP(B92,'Insumos e Serviços'!$A:$F,5,0)</f>
        <v>M</v>
      </c>
      <c r="F92" s="42">
        <v>13</v>
      </c>
      <c r="G92" s="42">
        <f>VLOOKUP(B92,'Insumos e Serviços'!$A:$F,6,0)</f>
        <v>86.67</v>
      </c>
      <c r="H92" s="42">
        <f>TRUNC(F92*G92,2)</f>
        <v>1126.71</v>
      </c>
    </row>
    <row r="93" spans="1:8" s="80" customFormat="1" ht="22.5">
      <c r="A93" s="40" t="s">
        <v>760</v>
      </c>
      <c r="B93" s="41" t="s">
        <v>761</v>
      </c>
      <c r="C93" s="41" t="s">
        <v>160</v>
      </c>
      <c r="D93" s="189" t="s">
        <v>762</v>
      </c>
      <c r="E93" s="41" t="s">
        <v>167</v>
      </c>
      <c r="F93" s="42">
        <v>10</v>
      </c>
      <c r="G93" s="42">
        <f>VLOOKUP(A93,'Orçamento Analítico'!$A:$H,8,0)</f>
        <v>144.69</v>
      </c>
      <c r="H93" s="42">
        <f>TRUNC(F93*G93,2)</f>
        <v>1446.9</v>
      </c>
    </row>
    <row r="94" spans="1:8" ht="12.75">
      <c r="A94" s="84" t="s">
        <v>763</v>
      </c>
      <c r="B94" s="88"/>
      <c r="C94" s="88"/>
      <c r="D94" s="84" t="s">
        <v>764</v>
      </c>
      <c r="E94" s="88"/>
      <c r="F94" s="89"/>
      <c r="G94" s="84"/>
      <c r="H94" s="90">
        <f>SUM(H95:H97)</f>
        <v>25904.140000000003</v>
      </c>
    </row>
    <row r="95" spans="1:8" ht="22.5">
      <c r="A95" s="40" t="s">
        <v>765</v>
      </c>
      <c r="B95" s="41" t="s">
        <v>766</v>
      </c>
      <c r="C95" s="41" t="s">
        <v>160</v>
      </c>
      <c r="D95" s="189" t="s">
        <v>767</v>
      </c>
      <c r="E95" s="41" t="s">
        <v>177</v>
      </c>
      <c r="F95" s="42">
        <v>13</v>
      </c>
      <c r="G95" s="42">
        <f>VLOOKUP(A95,'Orçamento Analítico'!$A:$H,8,0)</f>
        <v>220.57</v>
      </c>
      <c r="H95" s="42">
        <f>TRUNC(F95*G95,2)</f>
        <v>2867.41</v>
      </c>
    </row>
    <row r="96" spans="1:8" ht="22.5">
      <c r="A96" s="40" t="s">
        <v>768</v>
      </c>
      <c r="B96" s="41" t="s">
        <v>769</v>
      </c>
      <c r="C96" s="41" t="s">
        <v>160</v>
      </c>
      <c r="D96" s="189" t="s">
        <v>770</v>
      </c>
      <c r="E96" s="41" t="s">
        <v>177</v>
      </c>
      <c r="F96" s="42">
        <v>105</v>
      </c>
      <c r="G96" s="42">
        <f>VLOOKUP(A96,'Orçamento Analítico'!$A:$H,8,0)</f>
        <v>217.93</v>
      </c>
      <c r="H96" s="42">
        <f>TRUNC(F96*G96,2)</f>
        <v>22882.65</v>
      </c>
    </row>
    <row r="97" spans="1:8" ht="22.5">
      <c r="A97" s="40" t="s">
        <v>771</v>
      </c>
      <c r="B97" s="41" t="s">
        <v>772</v>
      </c>
      <c r="C97" s="41" t="s">
        <v>160</v>
      </c>
      <c r="D97" s="189" t="s">
        <v>460</v>
      </c>
      <c r="E97" s="41" t="s">
        <v>161</v>
      </c>
      <c r="F97" s="42">
        <v>12</v>
      </c>
      <c r="G97" s="42">
        <f>VLOOKUP(A97,'Orçamento Analítico'!$A:$H,8,0)</f>
        <v>12.84</v>
      </c>
      <c r="H97" s="42">
        <f>TRUNC(F97*G97,2)</f>
        <v>154.08</v>
      </c>
    </row>
    <row r="98" spans="1:8" ht="12.75">
      <c r="A98" s="84" t="s">
        <v>773</v>
      </c>
      <c r="B98" s="88"/>
      <c r="C98" s="88"/>
      <c r="D98" s="84" t="s">
        <v>774</v>
      </c>
      <c r="E98" s="88"/>
      <c r="F98" s="89"/>
      <c r="G98" s="84"/>
      <c r="H98" s="90">
        <f>SUM(H99:H128)</f>
        <v>115747.30999999998</v>
      </c>
    </row>
    <row r="99" spans="1:8" ht="22.5">
      <c r="A99" s="40" t="s">
        <v>775</v>
      </c>
      <c r="B99" s="41" t="s">
        <v>776</v>
      </c>
      <c r="C99" s="41" t="s">
        <v>160</v>
      </c>
      <c r="D99" s="189" t="s">
        <v>777</v>
      </c>
      <c r="E99" s="41" t="s">
        <v>168</v>
      </c>
      <c r="F99" s="42">
        <v>21</v>
      </c>
      <c r="G99" s="42">
        <f>VLOOKUP(A99,'Orçamento Analítico'!$A:$H,8,0)</f>
        <v>726.9300000000001</v>
      </c>
      <c r="H99" s="42">
        <f aca="true" t="shared" si="4" ref="H99:H128">TRUNC(F99*G99,2)</f>
        <v>15265.53</v>
      </c>
    </row>
    <row r="100" spans="1:8" ht="22.5">
      <c r="A100" s="40" t="s">
        <v>778</v>
      </c>
      <c r="B100" s="41" t="s">
        <v>779</v>
      </c>
      <c r="C100" s="41" t="s">
        <v>160</v>
      </c>
      <c r="D100" s="189" t="s">
        <v>780</v>
      </c>
      <c r="E100" s="41" t="s">
        <v>168</v>
      </c>
      <c r="F100" s="42">
        <v>4</v>
      </c>
      <c r="G100" s="42">
        <f>VLOOKUP(A100,'Orçamento Analítico'!$A:$H,8,0)</f>
        <v>537.7299999999999</v>
      </c>
      <c r="H100" s="42">
        <f t="shared" si="4"/>
        <v>2150.92</v>
      </c>
    </row>
    <row r="101" spans="1:8" s="80" customFormat="1" ht="22.5">
      <c r="A101" s="40" t="s">
        <v>781</v>
      </c>
      <c r="B101" s="41" t="s">
        <v>782</v>
      </c>
      <c r="C101" s="41" t="s">
        <v>160</v>
      </c>
      <c r="D101" s="189" t="s">
        <v>783</v>
      </c>
      <c r="E101" s="41" t="s">
        <v>168</v>
      </c>
      <c r="F101" s="42">
        <v>3</v>
      </c>
      <c r="G101" s="42">
        <f>VLOOKUP(A101,'Orçamento Analítico'!$A:$H,8,0)</f>
        <v>1085.3799999999999</v>
      </c>
      <c r="H101" s="42">
        <f t="shared" si="4"/>
        <v>3256.14</v>
      </c>
    </row>
    <row r="102" spans="1:8" ht="33.75">
      <c r="A102" s="40" t="s">
        <v>784</v>
      </c>
      <c r="B102" s="41" t="s">
        <v>785</v>
      </c>
      <c r="C102" s="41" t="s">
        <v>160</v>
      </c>
      <c r="D102" s="189" t="s">
        <v>786</v>
      </c>
      <c r="E102" s="41" t="s">
        <v>168</v>
      </c>
      <c r="F102" s="42">
        <v>13</v>
      </c>
      <c r="G102" s="42">
        <f>VLOOKUP(A102,'Orçamento Analítico'!$A:$H,8,0)</f>
        <v>432.24</v>
      </c>
      <c r="H102" s="42">
        <f t="shared" si="4"/>
        <v>5619.12</v>
      </c>
    </row>
    <row r="103" spans="1:8" ht="22.5">
      <c r="A103" s="40" t="s">
        <v>787</v>
      </c>
      <c r="B103" s="41" t="s">
        <v>788</v>
      </c>
      <c r="C103" s="41" t="s">
        <v>160</v>
      </c>
      <c r="D103" s="189" t="s">
        <v>789</v>
      </c>
      <c r="E103" s="41" t="s">
        <v>168</v>
      </c>
      <c r="F103" s="42">
        <v>15</v>
      </c>
      <c r="G103" s="42">
        <f>VLOOKUP(A103,'Orçamento Analítico'!$A:$H,8,0)</f>
        <v>234.12</v>
      </c>
      <c r="H103" s="42">
        <f t="shared" si="4"/>
        <v>3511.8</v>
      </c>
    </row>
    <row r="104" spans="1:8" ht="22.5">
      <c r="A104" s="40" t="s">
        <v>790</v>
      </c>
      <c r="B104" s="41" t="s">
        <v>791</v>
      </c>
      <c r="C104" s="41" t="s">
        <v>160</v>
      </c>
      <c r="D104" s="189" t="s">
        <v>792</v>
      </c>
      <c r="E104" s="41" t="s">
        <v>161</v>
      </c>
      <c r="F104" s="42">
        <v>7</v>
      </c>
      <c r="G104" s="42">
        <f>VLOOKUP(A104,'Orçamento Analítico'!$A:$H,8,0)</f>
        <v>905.55</v>
      </c>
      <c r="H104" s="42">
        <f t="shared" si="4"/>
        <v>6338.85</v>
      </c>
    </row>
    <row r="105" spans="1:8" s="80" customFormat="1" ht="22.5">
      <c r="A105" s="40" t="s">
        <v>793</v>
      </c>
      <c r="B105" s="41" t="s">
        <v>794</v>
      </c>
      <c r="C105" s="41" t="s">
        <v>160</v>
      </c>
      <c r="D105" s="189" t="s">
        <v>795</v>
      </c>
      <c r="E105" s="41" t="s">
        <v>168</v>
      </c>
      <c r="F105" s="42">
        <v>20</v>
      </c>
      <c r="G105" s="42">
        <f>VLOOKUP(A105,'Orçamento Analítico'!$A:$H,8,0)</f>
        <v>405.27000000000004</v>
      </c>
      <c r="H105" s="42">
        <f t="shared" si="4"/>
        <v>8105.4</v>
      </c>
    </row>
    <row r="106" spans="1:8" ht="22.5">
      <c r="A106" s="40" t="s">
        <v>796</v>
      </c>
      <c r="B106" s="41" t="s">
        <v>797</v>
      </c>
      <c r="C106" s="41" t="s">
        <v>160</v>
      </c>
      <c r="D106" s="189" t="s">
        <v>798</v>
      </c>
      <c r="E106" s="41" t="s">
        <v>799</v>
      </c>
      <c r="F106" s="42">
        <v>20</v>
      </c>
      <c r="G106" s="42">
        <f>VLOOKUP(A106,'Orçamento Analítico'!$A:$H,8,0)</f>
        <v>804.37</v>
      </c>
      <c r="H106" s="42">
        <f t="shared" si="4"/>
        <v>16087.4</v>
      </c>
    </row>
    <row r="107" spans="1:8" ht="22.5">
      <c r="A107" s="40" t="s">
        <v>800</v>
      </c>
      <c r="B107" s="41" t="s">
        <v>801</v>
      </c>
      <c r="C107" s="41" t="s">
        <v>160</v>
      </c>
      <c r="D107" s="189" t="s">
        <v>802</v>
      </c>
      <c r="E107" s="41" t="s">
        <v>168</v>
      </c>
      <c r="F107" s="42">
        <v>3</v>
      </c>
      <c r="G107" s="42">
        <f>VLOOKUP(A107,'Orçamento Analítico'!$A:$H,8,0)</f>
        <v>768.63</v>
      </c>
      <c r="H107" s="42">
        <f t="shared" si="4"/>
        <v>2305.89</v>
      </c>
    </row>
    <row r="108" spans="1:8" ht="22.5">
      <c r="A108" s="40" t="s">
        <v>803</v>
      </c>
      <c r="B108" s="41" t="s">
        <v>804</v>
      </c>
      <c r="C108" s="41" t="s">
        <v>160</v>
      </c>
      <c r="D108" s="189" t="s">
        <v>805</v>
      </c>
      <c r="E108" s="41" t="s">
        <v>799</v>
      </c>
      <c r="F108" s="42">
        <v>3</v>
      </c>
      <c r="G108" s="42">
        <f>VLOOKUP(A108,'Orçamento Analítico'!$A:$H,8,0)</f>
        <v>1112.06</v>
      </c>
      <c r="H108" s="42">
        <f t="shared" si="4"/>
        <v>3336.18</v>
      </c>
    </row>
    <row r="109" spans="1:8" ht="22.5">
      <c r="A109" s="40" t="s">
        <v>806</v>
      </c>
      <c r="B109" s="41" t="s">
        <v>807</v>
      </c>
      <c r="C109" s="41" t="s">
        <v>160</v>
      </c>
      <c r="D109" s="189" t="s">
        <v>808</v>
      </c>
      <c r="E109" s="41" t="s">
        <v>168</v>
      </c>
      <c r="F109" s="42">
        <v>16</v>
      </c>
      <c r="G109" s="42">
        <f>VLOOKUP(A109,'Orçamento Analítico'!$A:$H,8,0)</f>
        <v>136.19</v>
      </c>
      <c r="H109" s="42">
        <f t="shared" si="4"/>
        <v>2179.04</v>
      </c>
    </row>
    <row r="110" spans="1:8" ht="22.5">
      <c r="A110" s="40" t="s">
        <v>809</v>
      </c>
      <c r="B110" s="41" t="s">
        <v>311</v>
      </c>
      <c r="C110" s="41" t="str">
        <f>VLOOKUP(B110,'Insumos e Serviços'!$A:$F,2,0)</f>
        <v>SINAPI</v>
      </c>
      <c r="D110" s="189" t="str">
        <f>VLOOKUP(B110,'Insumos e Serviços'!$A:$F,4,0)</f>
        <v>BARRA DE APOIO RETA, EM ALUMINIO, COMPRIMENTO 80 CM,  FIXADA NA PAREDE - FORNECIMENTO E INSTALAÇÃO. AF_01/2020</v>
      </c>
      <c r="E110" s="41" t="str">
        <f>VLOOKUP(B110,'Insumos e Serviços'!$A:$F,5,0)</f>
        <v>UN</v>
      </c>
      <c r="F110" s="42">
        <v>7</v>
      </c>
      <c r="G110" s="42">
        <f>VLOOKUP(B110,'Insumos e Serviços'!$A:$F,6,0)</f>
        <v>301.28</v>
      </c>
      <c r="H110" s="42">
        <f t="shared" si="4"/>
        <v>2108.96</v>
      </c>
    </row>
    <row r="111" spans="1:8" s="80" customFormat="1" ht="22.5">
      <c r="A111" s="40" t="s">
        <v>810</v>
      </c>
      <c r="B111" s="41" t="s">
        <v>313</v>
      </c>
      <c r="C111" s="41" t="str">
        <f>VLOOKUP(B111,'Insumos e Serviços'!$A:$F,2,0)</f>
        <v>SINAPI</v>
      </c>
      <c r="D111" s="189" t="str">
        <f>VLOOKUP(B111,'Insumos e Serviços'!$A:$F,4,0)</f>
        <v>BARRA DE APOIO RETA, EM ALUMINIO, COMPRIMENTO 70 CM,  FIXADA NA PAREDE - FORNECIMENTO E INSTALAÇÃO. AF_01/2020</v>
      </c>
      <c r="E111" s="41" t="str">
        <f>VLOOKUP(B111,'Insumos e Serviços'!$A:$F,5,0)</f>
        <v>UN</v>
      </c>
      <c r="F111" s="42">
        <v>11</v>
      </c>
      <c r="G111" s="42">
        <f>VLOOKUP(B111,'Insumos e Serviços'!$A:$F,6,0)</f>
        <v>288.52</v>
      </c>
      <c r="H111" s="42">
        <f t="shared" si="4"/>
        <v>3173.72</v>
      </c>
    </row>
    <row r="112" spans="1:8" ht="33.75">
      <c r="A112" s="40" t="s">
        <v>811</v>
      </c>
      <c r="B112" s="41" t="s">
        <v>812</v>
      </c>
      <c r="C112" s="41" t="s">
        <v>160</v>
      </c>
      <c r="D112" s="189" t="s">
        <v>813</v>
      </c>
      <c r="E112" s="41" t="s">
        <v>168</v>
      </c>
      <c r="F112" s="42">
        <v>13</v>
      </c>
      <c r="G112" s="42">
        <f>VLOOKUP(A112,'Orçamento Analítico'!$A:$H,8,0)</f>
        <v>114.03</v>
      </c>
      <c r="H112" s="42">
        <f t="shared" si="4"/>
        <v>1482.39</v>
      </c>
    </row>
    <row r="113" spans="1:8" ht="33.75">
      <c r="A113" s="40" t="s">
        <v>814</v>
      </c>
      <c r="B113" s="41" t="s">
        <v>815</v>
      </c>
      <c r="C113" s="41" t="s">
        <v>160</v>
      </c>
      <c r="D113" s="189" t="s">
        <v>816</v>
      </c>
      <c r="E113" s="41" t="s">
        <v>168</v>
      </c>
      <c r="F113" s="42">
        <v>3</v>
      </c>
      <c r="G113" s="42">
        <f>VLOOKUP(A113,'Orçamento Analítico'!$A:$H,8,0)</f>
        <v>112.94</v>
      </c>
      <c r="H113" s="42">
        <f t="shared" si="4"/>
        <v>338.82</v>
      </c>
    </row>
    <row r="114" spans="1:8" ht="22.5">
      <c r="A114" s="40" t="s">
        <v>817</v>
      </c>
      <c r="B114" s="41" t="s">
        <v>315</v>
      </c>
      <c r="C114" s="41" t="str">
        <f>VLOOKUP(B114,'Insumos e Serviços'!$A:$F,2,0)</f>
        <v>SINAPI</v>
      </c>
      <c r="D114" s="189" t="str">
        <f>VLOOKUP(B114,'Insumos e Serviços'!$A:$F,4,0)</f>
        <v>BARRA DE APOIO EM "L", EM ACO INOX POLIDO 80 X 80 CM, FIXADA NA PAREDE - FORNECIMENTO E INSTALACAO. AF_01/2020</v>
      </c>
      <c r="E114" s="41" t="str">
        <f>VLOOKUP(B114,'Insumos e Serviços'!$A:$F,5,0)</f>
        <v>UN</v>
      </c>
      <c r="F114" s="42">
        <v>1</v>
      </c>
      <c r="G114" s="42">
        <f>VLOOKUP(B114,'Insumos e Serviços'!$A:$F,6,0)</f>
        <v>566.87</v>
      </c>
      <c r="H114" s="42">
        <f t="shared" si="4"/>
        <v>566.87</v>
      </c>
    </row>
    <row r="115" spans="1:8" ht="22.5">
      <c r="A115" s="40" t="s">
        <v>818</v>
      </c>
      <c r="B115" s="41" t="s">
        <v>317</v>
      </c>
      <c r="C115" s="41" t="str">
        <f>VLOOKUP(B115,'Insumos e Serviços'!$A:$F,2,0)</f>
        <v>SINAPI</v>
      </c>
      <c r="D115" s="189" t="str">
        <f>VLOOKUP(B115,'Insumos e Serviços'!$A:$F,4,0)</f>
        <v>BANCO ARTICULADO, EM ACO INOX, PARA PCD, FIXADO NA PAREDE - FORNECIMENTO E INSTALAÇÃO. AF_01/2020</v>
      </c>
      <c r="E115" s="41" t="str">
        <f>VLOOKUP(B115,'Insumos e Serviços'!$A:$F,5,0)</f>
        <v>UN</v>
      </c>
      <c r="F115" s="42">
        <v>1</v>
      </c>
      <c r="G115" s="42">
        <f>VLOOKUP(B115,'Insumos e Serviços'!$A:$F,6,0)</f>
        <v>901.16</v>
      </c>
      <c r="H115" s="42">
        <f t="shared" si="4"/>
        <v>901.16</v>
      </c>
    </row>
    <row r="116" spans="1:8" ht="22.5">
      <c r="A116" s="40" t="s">
        <v>819</v>
      </c>
      <c r="B116" s="41" t="s">
        <v>319</v>
      </c>
      <c r="C116" s="41" t="str">
        <f>VLOOKUP(B116,'Insumos e Serviços'!$A:$F,2,0)</f>
        <v>SINAPI</v>
      </c>
      <c r="D116" s="189" t="str">
        <f>VLOOKUP(B116,'Insumos e Serviços'!$A:$F,4,0)</f>
        <v>CHUVEIRO ELÉTRICO COMUM CORPO PLÁSTICO, TIPO DUCHA  FORNECIMENTO E INSTALAÇÃO. AF_01/2020</v>
      </c>
      <c r="E116" s="41" t="str">
        <f>VLOOKUP(B116,'Insumos e Serviços'!$A:$F,5,0)</f>
        <v>UN</v>
      </c>
      <c r="F116" s="42">
        <v>5</v>
      </c>
      <c r="G116" s="42">
        <f>VLOOKUP(B116,'Insumos e Serviços'!$A:$F,6,0)</f>
        <v>74.2</v>
      </c>
      <c r="H116" s="42">
        <f t="shared" si="4"/>
        <v>371</v>
      </c>
    </row>
    <row r="117" spans="1:8" ht="22.5">
      <c r="A117" s="40" t="s">
        <v>820</v>
      </c>
      <c r="B117" s="41" t="s">
        <v>821</v>
      </c>
      <c r="C117" s="41" t="s">
        <v>160</v>
      </c>
      <c r="D117" s="189" t="s">
        <v>822</v>
      </c>
      <c r="E117" s="41" t="s">
        <v>161</v>
      </c>
      <c r="F117" s="42">
        <v>5</v>
      </c>
      <c r="G117" s="42">
        <f>VLOOKUP(A117,'Orçamento Analítico'!$A:$H,8,0)</f>
        <v>269.34000000000003</v>
      </c>
      <c r="H117" s="42">
        <f t="shared" si="4"/>
        <v>1346.7</v>
      </c>
    </row>
    <row r="118" spans="1:8" ht="22.5">
      <c r="A118" s="40" t="s">
        <v>823</v>
      </c>
      <c r="B118" s="41" t="s">
        <v>824</v>
      </c>
      <c r="C118" s="41" t="s">
        <v>160</v>
      </c>
      <c r="D118" s="189" t="s">
        <v>825</v>
      </c>
      <c r="E118" s="41" t="s">
        <v>177</v>
      </c>
      <c r="F118" s="42">
        <v>13</v>
      </c>
      <c r="G118" s="42">
        <f>VLOOKUP(A118,'Orçamento Analítico'!$A:$H,8,0)</f>
        <v>416.07</v>
      </c>
      <c r="H118" s="42">
        <f t="shared" si="4"/>
        <v>5408.91</v>
      </c>
    </row>
    <row r="119" spans="1:8" ht="22.5">
      <c r="A119" s="40" t="s">
        <v>826</v>
      </c>
      <c r="B119" s="41" t="s">
        <v>827</v>
      </c>
      <c r="C119" s="41" t="s">
        <v>160</v>
      </c>
      <c r="D119" s="189" t="s">
        <v>828</v>
      </c>
      <c r="E119" s="41" t="s">
        <v>177</v>
      </c>
      <c r="F119" s="42">
        <v>12</v>
      </c>
      <c r="G119" s="42">
        <f>VLOOKUP(A119,'Orçamento Analítico'!$A:$H,8,0)</f>
        <v>104.48</v>
      </c>
      <c r="H119" s="42">
        <f t="shared" si="4"/>
        <v>1253.76</v>
      </c>
    </row>
    <row r="120" spans="1:8" s="80" customFormat="1" ht="22.5">
      <c r="A120" s="40" t="s">
        <v>829</v>
      </c>
      <c r="B120" s="41" t="s">
        <v>830</v>
      </c>
      <c r="C120" s="41" t="s">
        <v>160</v>
      </c>
      <c r="D120" s="189" t="s">
        <v>831</v>
      </c>
      <c r="E120" s="41" t="s">
        <v>177</v>
      </c>
      <c r="F120" s="42">
        <v>7</v>
      </c>
      <c r="G120" s="42">
        <f>VLOOKUP(A120,'Orçamento Analítico'!$A:$H,8,0)</f>
        <v>89.07999999999998</v>
      </c>
      <c r="H120" s="42">
        <f t="shared" si="4"/>
        <v>623.56</v>
      </c>
    </row>
    <row r="121" spans="1:8" ht="22.5">
      <c r="A121" s="40" t="s">
        <v>832</v>
      </c>
      <c r="B121" s="41" t="s">
        <v>833</v>
      </c>
      <c r="C121" s="41" t="s">
        <v>160</v>
      </c>
      <c r="D121" s="189" t="s">
        <v>834</v>
      </c>
      <c r="E121" s="41" t="s">
        <v>166</v>
      </c>
      <c r="F121" s="42">
        <v>2</v>
      </c>
      <c r="G121" s="42">
        <f>VLOOKUP(A121,'Orçamento Analítico'!$A:$H,8,0)</f>
        <v>551.3399999999999</v>
      </c>
      <c r="H121" s="42">
        <f t="shared" si="4"/>
        <v>1102.68</v>
      </c>
    </row>
    <row r="122" spans="1:8" ht="22.5">
      <c r="A122" s="40" t="s">
        <v>835</v>
      </c>
      <c r="B122" s="41" t="s">
        <v>321</v>
      </c>
      <c r="C122" s="41" t="str">
        <f>VLOOKUP(B122,'Insumos e Serviços'!$A:$F,2,0)</f>
        <v>SINAPI</v>
      </c>
      <c r="D122" s="189" t="str">
        <f>VLOOKUP(B122,'Insumos e Serviços'!$A:$F,4,0)</f>
        <v>SUPORTE MÃO FRANCESA EM AÇO, ABAS IGUAIS 30 CM, CAPACIDADE MINIMA 60 KG, BRANCO - FORNECIMENTO E INSTALAÇÃO. AF_01/2020</v>
      </c>
      <c r="E122" s="41" t="str">
        <f>VLOOKUP(B122,'Insumos e Serviços'!$A:$F,5,0)</f>
        <v>UN</v>
      </c>
      <c r="F122" s="42">
        <v>32</v>
      </c>
      <c r="G122" s="42">
        <f>VLOOKUP(B122,'Insumos e Serviços'!$A:$F,6,0)</f>
        <v>38.73</v>
      </c>
      <c r="H122" s="42">
        <f t="shared" si="4"/>
        <v>1239.36</v>
      </c>
    </row>
    <row r="123" spans="1:8" ht="22.5">
      <c r="A123" s="40" t="s">
        <v>836</v>
      </c>
      <c r="B123" s="41" t="s">
        <v>837</v>
      </c>
      <c r="C123" s="41" t="s">
        <v>160</v>
      </c>
      <c r="D123" s="189" t="s">
        <v>838</v>
      </c>
      <c r="E123" s="41" t="s">
        <v>161</v>
      </c>
      <c r="F123" s="42">
        <v>2</v>
      </c>
      <c r="G123" s="42">
        <f>VLOOKUP(A123,'Orçamento Analítico'!$A:$H,8,0)</f>
        <v>805.93</v>
      </c>
      <c r="H123" s="42">
        <f t="shared" si="4"/>
        <v>1611.86</v>
      </c>
    </row>
    <row r="124" spans="1:8" ht="22.5">
      <c r="A124" s="40" t="s">
        <v>839</v>
      </c>
      <c r="B124" s="41" t="s">
        <v>840</v>
      </c>
      <c r="C124" s="41" t="s">
        <v>160</v>
      </c>
      <c r="D124" s="189" t="s">
        <v>841</v>
      </c>
      <c r="E124" s="41" t="s">
        <v>161</v>
      </c>
      <c r="F124" s="42">
        <v>2</v>
      </c>
      <c r="G124" s="42">
        <f>VLOOKUP(A124,'Orçamento Analítico'!$A:$H,8,0)</f>
        <v>775.93</v>
      </c>
      <c r="H124" s="42">
        <f t="shared" si="4"/>
        <v>1551.86</v>
      </c>
    </row>
    <row r="125" spans="1:8" ht="22.5">
      <c r="A125" s="40" t="s">
        <v>842</v>
      </c>
      <c r="B125" s="41" t="s">
        <v>843</v>
      </c>
      <c r="C125" s="41" t="s">
        <v>160</v>
      </c>
      <c r="D125" s="189" t="s">
        <v>844</v>
      </c>
      <c r="E125" s="41" t="s">
        <v>161</v>
      </c>
      <c r="F125" s="42">
        <v>1</v>
      </c>
      <c r="G125" s="42">
        <f>VLOOKUP(A125,'Orçamento Analítico'!$A:$H,8,0)</f>
        <v>11.53</v>
      </c>
      <c r="H125" s="42">
        <f t="shared" si="4"/>
        <v>11.53</v>
      </c>
    </row>
    <row r="126" spans="1:8" ht="22.5">
      <c r="A126" s="40" t="s">
        <v>845</v>
      </c>
      <c r="B126" s="41" t="s">
        <v>846</v>
      </c>
      <c r="C126" s="41" t="s">
        <v>160</v>
      </c>
      <c r="D126" s="189" t="s">
        <v>847</v>
      </c>
      <c r="E126" s="41" t="s">
        <v>161</v>
      </c>
      <c r="F126" s="42">
        <v>19</v>
      </c>
      <c r="G126" s="42">
        <f>VLOOKUP(A126,'Orçamento Analítico'!$A:$H,8,0)</f>
        <v>13.38</v>
      </c>
      <c r="H126" s="42">
        <f t="shared" si="4"/>
        <v>254.22</v>
      </c>
    </row>
    <row r="127" spans="1:8" ht="22.5">
      <c r="A127" s="40" t="s">
        <v>848</v>
      </c>
      <c r="B127" s="41" t="s">
        <v>849</v>
      </c>
      <c r="C127" s="41" t="s">
        <v>160</v>
      </c>
      <c r="D127" s="189" t="s">
        <v>850</v>
      </c>
      <c r="E127" s="41" t="s">
        <v>168</v>
      </c>
      <c r="F127" s="42">
        <v>40</v>
      </c>
      <c r="G127" s="42">
        <f>VLOOKUP(A127,'Orçamento Analítico'!$A:$H,8,0)</f>
        <v>174.71</v>
      </c>
      <c r="H127" s="42">
        <f t="shared" si="4"/>
        <v>6988.4</v>
      </c>
    </row>
    <row r="128" spans="1:8" ht="22.5">
      <c r="A128" s="40" t="s">
        <v>851</v>
      </c>
      <c r="B128" s="41" t="s">
        <v>852</v>
      </c>
      <c r="C128" s="41" t="s">
        <v>160</v>
      </c>
      <c r="D128" s="189" t="s">
        <v>853</v>
      </c>
      <c r="E128" s="41" t="s">
        <v>161</v>
      </c>
      <c r="F128" s="42">
        <v>42</v>
      </c>
      <c r="G128" s="42">
        <f>VLOOKUP(A128,'Orçamento Analítico'!$A:$H,8,0)</f>
        <v>410.84000000000003</v>
      </c>
      <c r="H128" s="42">
        <f t="shared" si="4"/>
        <v>17255.28</v>
      </c>
    </row>
    <row r="129" spans="1:8" ht="12.75">
      <c r="A129" s="84" t="s">
        <v>854</v>
      </c>
      <c r="B129" s="88"/>
      <c r="C129" s="88"/>
      <c r="D129" s="84" t="s">
        <v>855</v>
      </c>
      <c r="E129" s="88"/>
      <c r="F129" s="89"/>
      <c r="G129" s="84"/>
      <c r="H129" s="90">
        <f>SUM(H130:H133)</f>
        <v>6460.6</v>
      </c>
    </row>
    <row r="130" spans="1:8" ht="33.75">
      <c r="A130" s="40" t="s">
        <v>856</v>
      </c>
      <c r="B130" s="41" t="s">
        <v>857</v>
      </c>
      <c r="C130" s="41" t="s">
        <v>160</v>
      </c>
      <c r="D130" s="189" t="s">
        <v>858</v>
      </c>
      <c r="E130" s="41" t="s">
        <v>161</v>
      </c>
      <c r="F130" s="42">
        <v>1</v>
      </c>
      <c r="G130" s="42">
        <f>VLOOKUP(A130,'Orçamento Analítico'!$A:$H,8,0)</f>
        <v>1170.74</v>
      </c>
      <c r="H130" s="42">
        <f>TRUNC(F130*G130,2)</f>
        <v>1170.74</v>
      </c>
    </row>
    <row r="131" spans="1:8" ht="22.5">
      <c r="A131" s="40" t="s">
        <v>859</v>
      </c>
      <c r="B131" s="41" t="s">
        <v>860</v>
      </c>
      <c r="C131" s="41" t="s">
        <v>160</v>
      </c>
      <c r="D131" s="189" t="s">
        <v>861</v>
      </c>
      <c r="E131" s="41" t="s">
        <v>168</v>
      </c>
      <c r="F131" s="42">
        <v>1</v>
      </c>
      <c r="G131" s="42">
        <f>VLOOKUP(A131,'Orçamento Analítico'!$A:$H,8,0)</f>
        <v>447.06999999999994</v>
      </c>
      <c r="H131" s="42">
        <f>TRUNC(F131*G131,2)</f>
        <v>447.07</v>
      </c>
    </row>
    <row r="132" spans="1:8" ht="12.75">
      <c r="A132" s="40" t="s">
        <v>862</v>
      </c>
      <c r="B132" s="41" t="s">
        <v>863</v>
      </c>
      <c r="C132" s="41" t="s">
        <v>160</v>
      </c>
      <c r="D132" s="189" t="s">
        <v>864</v>
      </c>
      <c r="E132" s="41" t="s">
        <v>799</v>
      </c>
      <c r="F132" s="42">
        <v>1</v>
      </c>
      <c r="G132" s="42">
        <f>VLOOKUP(A132,'Orçamento Analítico'!$A:$H,8,0)</f>
        <v>631.91</v>
      </c>
      <c r="H132" s="42">
        <f>TRUNC(F132*G132,2)</f>
        <v>631.91</v>
      </c>
    </row>
    <row r="133" spans="1:8" ht="22.5">
      <c r="A133" s="40" t="s">
        <v>865</v>
      </c>
      <c r="B133" s="41" t="s">
        <v>866</v>
      </c>
      <c r="C133" s="41" t="s">
        <v>160</v>
      </c>
      <c r="D133" s="189" t="s">
        <v>867</v>
      </c>
      <c r="E133" s="41" t="s">
        <v>177</v>
      </c>
      <c r="F133" s="42">
        <v>8</v>
      </c>
      <c r="G133" s="42">
        <f>VLOOKUP(A133,'Orçamento Analítico'!$A:$H,8,0)</f>
        <v>526.36</v>
      </c>
      <c r="H133" s="42">
        <f>TRUNC(F133*G133,2)</f>
        <v>4210.88</v>
      </c>
    </row>
    <row r="134" spans="1:8" ht="12.75">
      <c r="A134" s="83" t="s">
        <v>126</v>
      </c>
      <c r="B134" s="85"/>
      <c r="C134" s="85"/>
      <c r="D134" s="83" t="s">
        <v>127</v>
      </c>
      <c r="E134" s="85"/>
      <c r="F134" s="86"/>
      <c r="G134" s="83"/>
      <c r="H134" s="87">
        <f>H135</f>
        <v>63696.80999999999</v>
      </c>
    </row>
    <row r="135" spans="1:8" ht="12.75">
      <c r="A135" s="84" t="s">
        <v>868</v>
      </c>
      <c r="B135" s="88"/>
      <c r="C135" s="88"/>
      <c r="D135" s="84" t="s">
        <v>192</v>
      </c>
      <c r="E135" s="88"/>
      <c r="F135" s="89"/>
      <c r="G135" s="84"/>
      <c r="H135" s="90">
        <f>H136+H141</f>
        <v>63696.80999999999</v>
      </c>
    </row>
    <row r="136" spans="1:8" ht="12.75">
      <c r="A136" s="84" t="s">
        <v>869</v>
      </c>
      <c r="B136" s="88"/>
      <c r="C136" s="88"/>
      <c r="D136" s="84" t="s">
        <v>870</v>
      </c>
      <c r="E136" s="88"/>
      <c r="F136" s="89"/>
      <c r="G136" s="84"/>
      <c r="H136" s="90">
        <f>SUM(H137:H140)</f>
        <v>11122.169999999998</v>
      </c>
    </row>
    <row r="137" spans="1:8" ht="12.75">
      <c r="A137" s="40" t="s">
        <v>871</v>
      </c>
      <c r="B137" s="41" t="s">
        <v>872</v>
      </c>
      <c r="C137" s="41" t="s">
        <v>160</v>
      </c>
      <c r="D137" s="189" t="s">
        <v>511</v>
      </c>
      <c r="E137" s="41" t="s">
        <v>161</v>
      </c>
      <c r="F137" s="42">
        <v>1</v>
      </c>
      <c r="G137" s="42">
        <f>VLOOKUP(A137,'Orçamento Analítico'!$A:$H,8,0)</f>
        <v>8988.3</v>
      </c>
      <c r="H137" s="42">
        <f>TRUNC(F137*G137,2)</f>
        <v>8988.3</v>
      </c>
    </row>
    <row r="138" spans="1:8" ht="22.5">
      <c r="A138" s="40" t="s">
        <v>873</v>
      </c>
      <c r="B138" s="41" t="s">
        <v>323</v>
      </c>
      <c r="C138" s="41" t="str">
        <f>VLOOKUP(B138,'Insumos e Serviços'!$A:$F,2,0)</f>
        <v>SINAPI</v>
      </c>
      <c r="D138" s="189" t="str">
        <f>VLOOKUP(B138,'Insumos e Serviços'!$A:$F,4,0)</f>
        <v>CABO DE COBRE FLEXÍVEL ISOLADO, 10 MM², ANTI-CHAMA 0,6/1,0 KV, PARA DISTRIBUIÇÃO - FORNECIMENTO E INSTALAÇÃO. AF_12/2015</v>
      </c>
      <c r="E138" s="41" t="str">
        <f>VLOOKUP(B138,'Insumos e Serviços'!$A:$F,5,0)</f>
        <v>M</v>
      </c>
      <c r="F138" s="42">
        <v>137</v>
      </c>
      <c r="G138" s="42">
        <f>VLOOKUP(B138,'Insumos e Serviços'!$A:$F,6,0)</f>
        <v>12.36</v>
      </c>
      <c r="H138" s="42">
        <f>TRUNC(F138*G138,2)</f>
        <v>1693.32</v>
      </c>
    </row>
    <row r="139" spans="1:8" ht="22.5">
      <c r="A139" s="40" t="s">
        <v>874</v>
      </c>
      <c r="B139" s="41" t="s">
        <v>325</v>
      </c>
      <c r="C139" s="41" t="str">
        <f>VLOOKUP(B139,'Insumos e Serviços'!$A:$F,2,0)</f>
        <v>SINAPI</v>
      </c>
      <c r="D139" s="189" t="str">
        <f>VLOOKUP(B139,'Insumos e Serviços'!$A:$F,4,0)</f>
        <v>ELETRODUTO RÍGIDO SOLDÁVEL, PVC, DN 32 MM (1), APARENTE, INSTALADO EM PAREDE - FORNECIMENTO E INSTALAÇÃO. AF_11/2016_P</v>
      </c>
      <c r="E139" s="41" t="str">
        <f>VLOOKUP(B139,'Insumos e Serviços'!$A:$F,5,0)</f>
        <v>M</v>
      </c>
      <c r="F139" s="42">
        <v>28</v>
      </c>
      <c r="G139" s="42">
        <f>VLOOKUP(B139,'Insumos e Serviços'!$A:$F,6,0)</f>
        <v>11.88</v>
      </c>
      <c r="H139" s="42">
        <f>TRUNC(F139*G139,2)</f>
        <v>332.64</v>
      </c>
    </row>
    <row r="140" spans="1:8" ht="22.5">
      <c r="A140" s="40" t="s">
        <v>875</v>
      </c>
      <c r="B140" s="41" t="s">
        <v>327</v>
      </c>
      <c r="C140" s="41" t="str">
        <f>VLOOKUP(B140,'Insumos e Serviços'!$A:$F,2,0)</f>
        <v>SINAPI</v>
      </c>
      <c r="D140" s="189" t="str">
        <f>VLOOKUP(B140,'Insumos e Serviços'!$A:$F,4,0)</f>
        <v>CONDULETE DE PVC, TIPO LL, PARA ELETRODUTO DE PVC SOLDÁVEL DN 32 MM (1''), APARENTE - FORNECIMENTO E INSTALAÇÃO. AF_11/2016</v>
      </c>
      <c r="E140" s="41" t="str">
        <f>VLOOKUP(B140,'Insumos e Serviços'!$A:$F,5,0)</f>
        <v>UN</v>
      </c>
      <c r="F140" s="42">
        <v>3</v>
      </c>
      <c r="G140" s="42">
        <f>VLOOKUP(B140,'Insumos e Serviços'!$A:$F,6,0)</f>
        <v>35.97</v>
      </c>
      <c r="H140" s="42">
        <f>TRUNC(F140*G140,2)</f>
        <v>107.91</v>
      </c>
    </row>
    <row r="141" spans="1:8" ht="12.75">
      <c r="A141" s="84" t="s">
        <v>876</v>
      </c>
      <c r="B141" s="88"/>
      <c r="C141" s="88"/>
      <c r="D141" s="84" t="s">
        <v>877</v>
      </c>
      <c r="E141" s="88"/>
      <c r="F141" s="89"/>
      <c r="G141" s="84"/>
      <c r="H141" s="90">
        <f>SUM(H142:H157)</f>
        <v>52574.63999999999</v>
      </c>
    </row>
    <row r="142" spans="1:8" ht="22.5">
      <c r="A142" s="40" t="s">
        <v>878</v>
      </c>
      <c r="B142" s="41" t="s">
        <v>329</v>
      </c>
      <c r="C142" s="41" t="str">
        <f>VLOOKUP(B142,'Insumos e Serviços'!$A:$F,2,0)</f>
        <v>SINAPI</v>
      </c>
      <c r="D142" s="189" t="str">
        <f>VLOOKUP(B142,'Insumos e Serviços'!$A:$F,4,0)</f>
        <v>CABO DE COBRE FLEXÍVEL ISOLADO, 2,5 MM², ANTI-CHAMA 450/750 V, PARA CIRCUITOS TERMINAIS - FORNECIMENTO E INSTALAÇÃO. AF_12/2015</v>
      </c>
      <c r="E142" s="41" t="str">
        <f>VLOOKUP(B142,'Insumos e Serviços'!$A:$F,5,0)</f>
        <v>M</v>
      </c>
      <c r="F142" s="42">
        <v>598</v>
      </c>
      <c r="G142" s="42">
        <f>VLOOKUP(B142,'Insumos e Serviços'!$A:$F,6,0)</f>
        <v>4.33</v>
      </c>
      <c r="H142" s="42">
        <f aca="true" t="shared" si="5" ref="H142:H157">TRUNC(F142*G142,2)</f>
        <v>2589.34</v>
      </c>
    </row>
    <row r="143" spans="1:8" ht="22.5">
      <c r="A143" s="40" t="s">
        <v>879</v>
      </c>
      <c r="B143" s="41" t="s">
        <v>331</v>
      </c>
      <c r="C143" s="41" t="str">
        <f>VLOOKUP(B143,'Insumos e Serviços'!$A:$F,2,0)</f>
        <v>SINAPI</v>
      </c>
      <c r="D143" s="189" t="str">
        <f>VLOOKUP(B143,'Insumos e Serviços'!$A:$F,4,0)</f>
        <v>CABO DE COBRE FLEXÍVEL ISOLADO, 6 MM², ANTI-CHAMA 450/750 V, PARA CIRCUITOS TERMINAIS - FORNECIMENTO E INSTALAÇÃO. AF_12/2015</v>
      </c>
      <c r="E143" s="41" t="str">
        <f>VLOOKUP(B143,'Insumos e Serviços'!$A:$F,5,0)</f>
        <v>M</v>
      </c>
      <c r="F143" s="42">
        <v>758</v>
      </c>
      <c r="G143" s="42">
        <f>VLOOKUP(B143,'Insumos e Serviços'!$A:$F,6,0)</f>
        <v>9.78</v>
      </c>
      <c r="H143" s="42">
        <f t="shared" si="5"/>
        <v>7413.24</v>
      </c>
    </row>
    <row r="144" spans="1:8" ht="22.5">
      <c r="A144" s="40" t="s">
        <v>880</v>
      </c>
      <c r="B144" s="41" t="s">
        <v>193</v>
      </c>
      <c r="C144" s="41" t="str">
        <f>VLOOKUP(B144,'Insumos e Serviços'!$A:$F,2,0)</f>
        <v>SINAPI</v>
      </c>
      <c r="D144" s="189" t="str">
        <f>VLOOKUP(B144,'Insumos e Serviços'!$A:$F,4,0)</f>
        <v>CABO DE COBRE FLEXÍVEL ISOLADO, 2,5 MM², ANTI-CHAMA 0,6/1,0 KV, PARA CIRCUITOS TERMINAIS - FORNECIMENTO E INSTALAÇÃO. AF_12/2015</v>
      </c>
      <c r="E144" s="41" t="str">
        <f>VLOOKUP(B144,'Insumos e Serviços'!$A:$F,5,0)</f>
        <v>M</v>
      </c>
      <c r="F144" s="42">
        <v>84</v>
      </c>
      <c r="G144" s="42">
        <f>VLOOKUP(B144,'Insumos e Serviços'!$A:$F,6,0)</f>
        <v>5.78</v>
      </c>
      <c r="H144" s="42">
        <f t="shared" si="5"/>
        <v>485.52</v>
      </c>
    </row>
    <row r="145" spans="1:8" ht="22.5">
      <c r="A145" s="40" t="s">
        <v>881</v>
      </c>
      <c r="B145" s="41" t="s">
        <v>882</v>
      </c>
      <c r="C145" s="41" t="s">
        <v>160</v>
      </c>
      <c r="D145" s="189" t="s">
        <v>883</v>
      </c>
      <c r="E145" s="41" t="s">
        <v>177</v>
      </c>
      <c r="F145" s="42">
        <v>65</v>
      </c>
      <c r="G145" s="42">
        <f>VLOOKUP(A145,'Orçamento Analítico'!$A:$H,8,0)</f>
        <v>20.01</v>
      </c>
      <c r="H145" s="42">
        <f t="shared" si="5"/>
        <v>1300.65</v>
      </c>
    </row>
    <row r="146" spans="1:8" ht="22.5">
      <c r="A146" s="40" t="s">
        <v>884</v>
      </c>
      <c r="B146" s="41" t="s">
        <v>885</v>
      </c>
      <c r="C146" s="41" t="s">
        <v>160</v>
      </c>
      <c r="D146" s="189" t="s">
        <v>886</v>
      </c>
      <c r="E146" s="41" t="s">
        <v>177</v>
      </c>
      <c r="F146" s="42">
        <v>50</v>
      </c>
      <c r="G146" s="42">
        <f>VLOOKUP(A146,'Orçamento Analítico'!$A:$H,8,0)</f>
        <v>27.42</v>
      </c>
      <c r="H146" s="42">
        <f t="shared" si="5"/>
        <v>1371</v>
      </c>
    </row>
    <row r="147" spans="1:8" ht="22.5">
      <c r="A147" s="40" t="s">
        <v>887</v>
      </c>
      <c r="B147" s="41" t="s">
        <v>334</v>
      </c>
      <c r="C147" s="41" t="str">
        <f>VLOOKUP(B147,'Insumos e Serviços'!$A:$F,2,0)</f>
        <v>SINAPI</v>
      </c>
      <c r="D147" s="189" t="str">
        <f>VLOOKUP(B147,'Insumos e Serviços'!$A:$F,4,0)</f>
        <v>CONDULETE DE PVC, TIPO LB, PARA ELETRODUTO DE PVC SOLDÁVEL DN 25 MM (3/4</v>
      </c>
      <c r="E147" s="41" t="str">
        <f>VLOOKUP(B147,'Insumos e Serviços'!$A:$F,5,0)</f>
        <v>UN</v>
      </c>
      <c r="F147" s="42">
        <v>3</v>
      </c>
      <c r="G147" s="42">
        <f>VLOOKUP(B147,'Insumos e Serviços'!$A:$F,6,0)</f>
        <v>20.27</v>
      </c>
      <c r="H147" s="42">
        <f t="shared" si="5"/>
        <v>60.81</v>
      </c>
    </row>
    <row r="148" spans="1:8" ht="22.5">
      <c r="A148" s="40" t="s">
        <v>888</v>
      </c>
      <c r="B148" s="41" t="s">
        <v>336</v>
      </c>
      <c r="C148" s="41" t="str">
        <f>VLOOKUP(B148,'Insumos e Serviços'!$A:$F,2,0)</f>
        <v>SINAPI</v>
      </c>
      <c r="D148" s="189" t="str">
        <f>VLOOKUP(B148,'Insumos e Serviços'!$A:$F,4,0)</f>
        <v>CONDULETE DE PVC, TIPO LB, PARA ELETRODUTO DE PVC SOLDÁVEL DN 32 MM (1</v>
      </c>
      <c r="E148" s="41" t="str">
        <f>VLOOKUP(B148,'Insumos e Serviços'!$A:$F,5,0)</f>
        <v>UN</v>
      </c>
      <c r="F148" s="42">
        <v>4</v>
      </c>
      <c r="G148" s="42">
        <f>VLOOKUP(B148,'Insumos e Serviços'!$A:$F,6,0)</f>
        <v>23.77</v>
      </c>
      <c r="H148" s="42">
        <f t="shared" si="5"/>
        <v>95.08</v>
      </c>
    </row>
    <row r="149" spans="1:8" ht="22.5">
      <c r="A149" s="40" t="s">
        <v>889</v>
      </c>
      <c r="B149" s="41" t="s">
        <v>890</v>
      </c>
      <c r="C149" s="41" t="s">
        <v>160</v>
      </c>
      <c r="D149" s="189" t="s">
        <v>891</v>
      </c>
      <c r="E149" s="41" t="s">
        <v>161</v>
      </c>
      <c r="F149" s="42">
        <v>1</v>
      </c>
      <c r="G149" s="42">
        <f>VLOOKUP(A149,'Orçamento Analítico'!$A:$H,8,0)</f>
        <v>2869.81</v>
      </c>
      <c r="H149" s="42">
        <f t="shared" si="5"/>
        <v>2869.81</v>
      </c>
    </row>
    <row r="150" spans="1:8" ht="22.5">
      <c r="A150" s="40" t="s">
        <v>892</v>
      </c>
      <c r="B150" s="41" t="s">
        <v>338</v>
      </c>
      <c r="C150" s="41" t="str">
        <f>VLOOKUP(B150,'Insumos e Serviços'!$A:$F,2,0)</f>
        <v>SINAPI</v>
      </c>
      <c r="D150" s="189" t="str">
        <f>VLOOKUP(B150,'Insumos e Serviços'!$A:$F,4,0)</f>
        <v>INTERRUPTOR SIMPLES (1 MÓDULO) COM 1 TOMADA DE EMBUTIR 2P+T 10 A,  INCLUINDO SUPORTE E PLACA - FORNECIMENTO E INSTALAÇÃO. AF_12/2015</v>
      </c>
      <c r="E150" s="41" t="str">
        <f>VLOOKUP(B150,'Insumos e Serviços'!$A:$F,5,0)</f>
        <v>UN</v>
      </c>
      <c r="F150" s="42">
        <v>14</v>
      </c>
      <c r="G150" s="42">
        <f>VLOOKUP(B150,'Insumos e Serviços'!$A:$F,6,0)</f>
        <v>50.37</v>
      </c>
      <c r="H150" s="42">
        <f t="shared" si="5"/>
        <v>705.18</v>
      </c>
    </row>
    <row r="151" spans="1:8" ht="22.5">
      <c r="A151" s="40" t="s">
        <v>893</v>
      </c>
      <c r="B151" s="41" t="s">
        <v>340</v>
      </c>
      <c r="C151" s="41" t="str">
        <f>VLOOKUP(B151,'Insumos e Serviços'!$A:$F,2,0)</f>
        <v>SINAPI</v>
      </c>
      <c r="D151" s="189" t="str">
        <f>VLOOKUP(B151,'Insumos e Serviços'!$A:$F,4,0)</f>
        <v>INTERRUPTOR SIMPLES (1 MÓDULO), 10A/250V, INCLUINDO SUPORTE E PLACA - FORNECIMENTO E INSTALAÇÃO. AF_12/2015</v>
      </c>
      <c r="E151" s="41" t="str">
        <f>VLOOKUP(B151,'Insumos e Serviços'!$A:$F,5,0)</f>
        <v>UN</v>
      </c>
      <c r="F151" s="42">
        <v>1</v>
      </c>
      <c r="G151" s="42">
        <f>VLOOKUP(B151,'Insumos e Serviços'!$A:$F,6,0)</f>
        <v>28.62</v>
      </c>
      <c r="H151" s="42">
        <f t="shared" si="5"/>
        <v>28.62</v>
      </c>
    </row>
    <row r="152" spans="1:8" ht="22.5">
      <c r="A152" s="40" t="s">
        <v>894</v>
      </c>
      <c r="B152" s="41" t="s">
        <v>342</v>
      </c>
      <c r="C152" s="41" t="str">
        <f>VLOOKUP(B152,'Insumos e Serviços'!$A:$F,2,0)</f>
        <v>SINAPI</v>
      </c>
      <c r="D152" s="189" t="str">
        <f>VLOOKUP(B152,'Insumos e Serviços'!$A:$F,4,0)</f>
        <v>CAIXA RETANGULAR 4" X 2" MÉDIA (1,30 M DO PISO), PVC, INSTALADA EM PAREDE - FORNECIMENTO E INSTALAÇÃO. AF_12/2015</v>
      </c>
      <c r="E152" s="41" t="str">
        <f>VLOOKUP(B152,'Insumos e Serviços'!$A:$F,5,0)</f>
        <v>UN</v>
      </c>
      <c r="F152" s="42">
        <v>15</v>
      </c>
      <c r="G152" s="42">
        <f>VLOOKUP(B152,'Insumos e Serviços'!$A:$F,6,0)</f>
        <v>15.1</v>
      </c>
      <c r="H152" s="42">
        <f t="shared" si="5"/>
        <v>226.5</v>
      </c>
    </row>
    <row r="153" spans="1:8" ht="33.75">
      <c r="A153" s="40" t="s">
        <v>895</v>
      </c>
      <c r="B153" s="41" t="s">
        <v>896</v>
      </c>
      <c r="C153" s="41" t="s">
        <v>160</v>
      </c>
      <c r="D153" s="189" t="s">
        <v>476</v>
      </c>
      <c r="E153" s="41" t="s">
        <v>161</v>
      </c>
      <c r="F153" s="42">
        <v>56</v>
      </c>
      <c r="G153" s="42">
        <f>VLOOKUP(A153,'Orçamento Analítico'!$A:$H,8,0)</f>
        <v>543.14</v>
      </c>
      <c r="H153" s="42">
        <f t="shared" si="5"/>
        <v>30415.84</v>
      </c>
    </row>
    <row r="154" spans="1:8" ht="22.5">
      <c r="A154" s="40" t="s">
        <v>897</v>
      </c>
      <c r="B154" s="41" t="s">
        <v>898</v>
      </c>
      <c r="C154" s="41" t="s">
        <v>160</v>
      </c>
      <c r="D154" s="189" t="s">
        <v>899</v>
      </c>
      <c r="E154" s="41" t="s">
        <v>161</v>
      </c>
      <c r="F154" s="42">
        <v>3</v>
      </c>
      <c r="G154" s="42">
        <f>VLOOKUP(A154,'Orçamento Analítico'!$A:$H,8,0)</f>
        <v>1153.18</v>
      </c>
      <c r="H154" s="42">
        <f t="shared" si="5"/>
        <v>3459.54</v>
      </c>
    </row>
    <row r="155" spans="1:8" ht="12.75">
      <c r="A155" s="40" t="s">
        <v>900</v>
      </c>
      <c r="B155" s="41" t="s">
        <v>901</v>
      </c>
      <c r="C155" s="41" t="s">
        <v>160</v>
      </c>
      <c r="D155" s="189" t="s">
        <v>902</v>
      </c>
      <c r="E155" s="41" t="s">
        <v>161</v>
      </c>
      <c r="F155" s="42">
        <v>23</v>
      </c>
      <c r="G155" s="42">
        <f>VLOOKUP(A155,'Orçamento Analítico'!$A:$H,8,0)</f>
        <v>48.74</v>
      </c>
      <c r="H155" s="42">
        <f t="shared" si="5"/>
        <v>1121.02</v>
      </c>
    </row>
    <row r="156" spans="1:8" ht="12.75">
      <c r="A156" s="40" t="s">
        <v>903</v>
      </c>
      <c r="B156" s="41" t="s">
        <v>904</v>
      </c>
      <c r="C156" s="41" t="s">
        <v>160</v>
      </c>
      <c r="D156" s="189" t="s">
        <v>905</v>
      </c>
      <c r="E156" s="41" t="s">
        <v>161</v>
      </c>
      <c r="F156" s="42">
        <v>5</v>
      </c>
      <c r="G156" s="42">
        <f>VLOOKUP(A156,'Orçamento Analítico'!$A:$H,8,0)</f>
        <v>72.4</v>
      </c>
      <c r="H156" s="42">
        <f t="shared" si="5"/>
        <v>362</v>
      </c>
    </row>
    <row r="157" spans="1:8" ht="12.75">
      <c r="A157" s="40" t="s">
        <v>906</v>
      </c>
      <c r="B157" s="41" t="s">
        <v>907</v>
      </c>
      <c r="C157" s="41" t="s">
        <v>160</v>
      </c>
      <c r="D157" s="189" t="s">
        <v>908</v>
      </c>
      <c r="E157" s="41" t="s">
        <v>161</v>
      </c>
      <c r="F157" s="42">
        <v>1</v>
      </c>
      <c r="G157" s="42">
        <f>VLOOKUP(A157,'Orçamento Analítico'!$A:$H,8,0)</f>
        <v>70.49</v>
      </c>
      <c r="H157" s="42">
        <f t="shared" si="5"/>
        <v>70.49</v>
      </c>
    </row>
    <row r="158" spans="1:8" ht="12.75">
      <c r="A158" s="83" t="s">
        <v>128</v>
      </c>
      <c r="B158" s="85"/>
      <c r="C158" s="85"/>
      <c r="D158" s="83" t="s">
        <v>129</v>
      </c>
      <c r="E158" s="85"/>
      <c r="F158" s="86"/>
      <c r="G158" s="83"/>
      <c r="H158" s="87">
        <f>H159+H172+H183+H192</f>
        <v>32964.52</v>
      </c>
    </row>
    <row r="159" spans="1:8" ht="12.75">
      <c r="A159" s="84" t="s">
        <v>909</v>
      </c>
      <c r="B159" s="88"/>
      <c r="C159" s="88"/>
      <c r="D159" s="84" t="s">
        <v>910</v>
      </c>
      <c r="E159" s="88"/>
      <c r="F159" s="89"/>
      <c r="G159" s="84"/>
      <c r="H159" s="90">
        <f>H160+H164</f>
        <v>7567.599999999999</v>
      </c>
    </row>
    <row r="160" spans="1:8" ht="12.75">
      <c r="A160" s="84" t="s">
        <v>911</v>
      </c>
      <c r="B160" s="88"/>
      <c r="C160" s="88"/>
      <c r="D160" s="84" t="s">
        <v>912</v>
      </c>
      <c r="E160" s="88"/>
      <c r="F160" s="89"/>
      <c r="G160" s="84"/>
      <c r="H160" s="90">
        <f>SUM(H161:H163)</f>
        <v>3896.5299999999997</v>
      </c>
    </row>
    <row r="161" spans="1:8" ht="33.75">
      <c r="A161" s="40" t="s">
        <v>913</v>
      </c>
      <c r="B161" s="41" t="s">
        <v>914</v>
      </c>
      <c r="C161" s="41" t="s">
        <v>160</v>
      </c>
      <c r="D161" s="189" t="s">
        <v>915</v>
      </c>
      <c r="E161" s="41" t="s">
        <v>177</v>
      </c>
      <c r="F161" s="42">
        <v>5</v>
      </c>
      <c r="G161" s="42">
        <f>VLOOKUP(A161,'Orçamento Analítico'!$A:$H,8,0)</f>
        <v>88.85000000000001</v>
      </c>
      <c r="H161" s="42">
        <f>TRUNC(F161*G161,2)</f>
        <v>444.25</v>
      </c>
    </row>
    <row r="162" spans="1:8" ht="45">
      <c r="A162" s="40" t="s">
        <v>916</v>
      </c>
      <c r="B162" s="41" t="s">
        <v>344</v>
      </c>
      <c r="C162" s="41" t="str">
        <f>VLOOKUP(B162,'Insumos e Serviços'!$A:$F,2,0)</f>
        <v>SINAPI</v>
      </c>
      <c r="D162" s="189" t="str">
        <f>VLOOKUP(B162,'Insumos e Serviços'!$A:$F,4,0)</f>
        <v>(COMPOSIÇÃO REPRESENTATIVA) DO SERVIÇO DE INSTALAÇÃO TUBOS DE PVC, SOLDÁVEL, ÁGUA FRIA, DN 32 MM (INSTALADO EM RAMAL, SUB-RAMAL, RAMAL DE DISTRIBUIÇÃO OU PRUMADA), INCLUSIVE CONEXÕES, CORTES E FIXAÇÕES, PARA PRÉDIOS. AF_10/2015</v>
      </c>
      <c r="E162" s="41" t="str">
        <f>VLOOKUP(B162,'Insumos e Serviços'!$A:$F,5,0)</f>
        <v>M</v>
      </c>
      <c r="F162" s="42">
        <v>20</v>
      </c>
      <c r="G162" s="42">
        <f>VLOOKUP(B162,'Insumos e Serviços'!$A:$F,6,0)</f>
        <v>31.11</v>
      </c>
      <c r="H162" s="42">
        <f>TRUNC(F162*G162,2)</f>
        <v>622.2</v>
      </c>
    </row>
    <row r="163" spans="1:8" ht="45">
      <c r="A163" s="40" t="s">
        <v>917</v>
      </c>
      <c r="B163" s="41" t="s">
        <v>346</v>
      </c>
      <c r="C163" s="41" t="str">
        <f>VLOOKUP(B163,'Insumos e Serviços'!$A:$F,2,0)</f>
        <v>SINAPI</v>
      </c>
      <c r="D163" s="189" t="str">
        <f>VLOOKUP(B163,'Insumos e Serviços'!$A:$F,4,0)</f>
        <v>(COMPOSIÇÃO REPRESENTATIVA) DO SERVIÇO DE INSTALAÇÃO DE TUBOS DE PVC, SOLDÁVEL, ÁGUA FRIA, DN 25 MM (INSTALADO EM RAMAL, SUB-RAMAL, RAMAL DE DISTRIBUIÇÃO OU PRUMADA), INCLUSIVE CONEXÕES, CORTES E FIXAÇÕES, PARA PRÉDIOS. AF_10/2015</v>
      </c>
      <c r="E163" s="41" t="str">
        <f>VLOOKUP(B163,'Insumos e Serviços'!$A:$F,5,0)</f>
        <v>M</v>
      </c>
      <c r="F163" s="42">
        <v>66</v>
      </c>
      <c r="G163" s="42">
        <f>VLOOKUP(B163,'Insumos e Serviços'!$A:$F,6,0)</f>
        <v>42.88</v>
      </c>
      <c r="H163" s="42">
        <f>TRUNC(F163*G163,2)</f>
        <v>2830.08</v>
      </c>
    </row>
    <row r="164" spans="1:8" ht="12.75">
      <c r="A164" s="84" t="s">
        <v>918</v>
      </c>
      <c r="B164" s="88"/>
      <c r="C164" s="88"/>
      <c r="D164" s="84" t="s">
        <v>919</v>
      </c>
      <c r="E164" s="88"/>
      <c r="F164" s="89"/>
      <c r="G164" s="84"/>
      <c r="H164" s="90">
        <f>SUM(H165:H171)</f>
        <v>3671.0699999999997</v>
      </c>
    </row>
    <row r="165" spans="1:8" ht="45">
      <c r="A165" s="40" t="s">
        <v>920</v>
      </c>
      <c r="B165" s="41" t="s">
        <v>348</v>
      </c>
      <c r="C165" s="41" t="str">
        <f>VLOOKUP(B165,'Insumos e Serviços'!$A:$F,2,0)</f>
        <v>SINAPI</v>
      </c>
      <c r="D165" s="189" t="str">
        <f>VLOOKUP(B165,'Insumos e Serviços'!$A:$F,4,0)</f>
        <v>REGISTRO DE GAVETA BRUTO, LATÃO, ROSCÁVEL, 1 1/2, COM ACABAMENTO E CANOPLA CROMADOS, INSTALADO EM RESERVAÇÃO DE ÁGUA DE EDIFICAÇÃO QUE POSSUA RESERVATÓRIO DE FIBRA/FIBROCIMENTO  FORNECIMENTO E INSTALAÇÃO. AF_06/2016</v>
      </c>
      <c r="E165" s="41" t="str">
        <f>VLOOKUP(B165,'Insumos e Serviços'!$A:$F,5,0)</f>
        <v>UN</v>
      </c>
      <c r="F165" s="42">
        <v>6</v>
      </c>
      <c r="G165" s="42">
        <f>VLOOKUP(B165,'Insumos e Serviços'!$A:$F,6,0)</f>
        <v>141.07</v>
      </c>
      <c r="H165" s="42">
        <f aca="true" t="shared" si="6" ref="H165:H171">TRUNC(F165*G165,2)</f>
        <v>846.42</v>
      </c>
    </row>
    <row r="166" spans="1:8" s="80" customFormat="1" ht="33.75">
      <c r="A166" s="40" t="s">
        <v>921</v>
      </c>
      <c r="B166" s="41" t="s">
        <v>922</v>
      </c>
      <c r="C166" s="41" t="s">
        <v>160</v>
      </c>
      <c r="D166" s="189" t="s">
        <v>923</v>
      </c>
      <c r="E166" s="41" t="s">
        <v>168</v>
      </c>
      <c r="F166" s="42">
        <v>1</v>
      </c>
      <c r="G166" s="42">
        <f>VLOOKUP(A166,'Orçamento Analítico'!$A:$H,8,0)</f>
        <v>97.52</v>
      </c>
      <c r="H166" s="42">
        <f t="shared" si="6"/>
        <v>97.52</v>
      </c>
    </row>
    <row r="167" spans="1:8" ht="33.75">
      <c r="A167" s="40" t="s">
        <v>924</v>
      </c>
      <c r="B167" s="41" t="s">
        <v>350</v>
      </c>
      <c r="C167" s="41" t="str">
        <f>VLOOKUP(B167,'Insumos e Serviços'!$A:$F,2,0)</f>
        <v>SINAPI</v>
      </c>
      <c r="D167" s="189" t="str">
        <f>VLOOKUP(B167,'Insumos e Serviços'!$A:$F,4,0)</f>
        <v>REGISTRO DE GAVETA BRUTO, LATÃO, ROSCÁVEL, 3/4", COM ACABAMENTO E CANOPLA CROMADOS. FORNECIDO E INSTALADO EM RAMAL DE ÁGUA. AF_12/2014</v>
      </c>
      <c r="E167" s="41" t="str">
        <f>VLOOKUP(B167,'Insumos e Serviços'!$A:$F,5,0)</f>
        <v>UN</v>
      </c>
      <c r="F167" s="42">
        <v>10</v>
      </c>
      <c r="G167" s="42">
        <f>VLOOKUP(B167,'Insumos e Serviços'!$A:$F,6,0)</f>
        <v>79.72</v>
      </c>
      <c r="H167" s="42">
        <f t="shared" si="6"/>
        <v>797.2</v>
      </c>
    </row>
    <row r="168" spans="1:8" ht="33.75">
      <c r="A168" s="40" t="s">
        <v>925</v>
      </c>
      <c r="B168" s="41" t="s">
        <v>352</v>
      </c>
      <c r="C168" s="41" t="str">
        <f>VLOOKUP(B168,'Insumos e Serviços'!$A:$F,2,0)</f>
        <v>SINAPI</v>
      </c>
      <c r="D168" s="189" t="str">
        <f>VLOOKUP(B168,'Insumos e Serviços'!$A:$F,4,0)</f>
        <v>REGISTRO DE PRESSÃO BRUTO, LATÃO, ROSCÁVEL, 3/4", COM ACABAMENTO E CANOPLA CROMADOS. FORNECIDO E INSTALADO EM RAMAL DE ÁGUA. AF_12/2014</v>
      </c>
      <c r="E168" s="41" t="str">
        <f>VLOOKUP(B168,'Insumos e Serviços'!$A:$F,5,0)</f>
        <v>UN</v>
      </c>
      <c r="F168" s="42">
        <v>3</v>
      </c>
      <c r="G168" s="42">
        <f>VLOOKUP(B168,'Insumos e Serviços'!$A:$F,6,0)</f>
        <v>75.74</v>
      </c>
      <c r="H168" s="42">
        <f t="shared" si="6"/>
        <v>227.22</v>
      </c>
    </row>
    <row r="169" spans="1:8" ht="22.5">
      <c r="A169" s="40" t="s">
        <v>926</v>
      </c>
      <c r="B169" s="41" t="s">
        <v>927</v>
      </c>
      <c r="C169" s="41" t="s">
        <v>160</v>
      </c>
      <c r="D169" s="189" t="s">
        <v>928</v>
      </c>
      <c r="E169" s="41" t="s">
        <v>161</v>
      </c>
      <c r="F169" s="42">
        <v>7</v>
      </c>
      <c r="G169" s="42">
        <f>VLOOKUP(A169,'Orçamento Analítico'!$A:$H,8,0)</f>
        <v>70.14</v>
      </c>
      <c r="H169" s="42">
        <f t="shared" si="6"/>
        <v>490.98</v>
      </c>
    </row>
    <row r="170" spans="1:8" ht="22.5">
      <c r="A170" s="40" t="s">
        <v>929</v>
      </c>
      <c r="B170" s="41" t="s">
        <v>930</v>
      </c>
      <c r="C170" s="41" t="s">
        <v>160</v>
      </c>
      <c r="D170" s="189" t="s">
        <v>931</v>
      </c>
      <c r="E170" s="41" t="s">
        <v>161</v>
      </c>
      <c r="F170" s="42">
        <v>1</v>
      </c>
      <c r="G170" s="42">
        <f>VLOOKUP(A170,'Orçamento Analítico'!$A:$H,8,0)</f>
        <v>132.45</v>
      </c>
      <c r="H170" s="42">
        <f t="shared" si="6"/>
        <v>132.45</v>
      </c>
    </row>
    <row r="171" spans="1:8" ht="22.5">
      <c r="A171" s="40" t="s">
        <v>932</v>
      </c>
      <c r="B171" s="41" t="s">
        <v>933</v>
      </c>
      <c r="C171" s="41" t="s">
        <v>160</v>
      </c>
      <c r="D171" s="189" t="s">
        <v>934</v>
      </c>
      <c r="E171" s="41" t="s">
        <v>161</v>
      </c>
      <c r="F171" s="42">
        <v>18</v>
      </c>
      <c r="G171" s="42">
        <f>VLOOKUP(A171,'Orçamento Analítico'!$A:$H,8,0)</f>
        <v>59.959999999999994</v>
      </c>
      <c r="H171" s="42">
        <f t="shared" si="6"/>
        <v>1079.28</v>
      </c>
    </row>
    <row r="172" spans="1:8" ht="12.75">
      <c r="A172" s="84" t="s">
        <v>935</v>
      </c>
      <c r="B172" s="88"/>
      <c r="C172" s="88"/>
      <c r="D172" s="84" t="s">
        <v>936</v>
      </c>
      <c r="E172" s="88"/>
      <c r="F172" s="89"/>
      <c r="G172" s="84"/>
      <c r="H172" s="90">
        <f>H173+H178</f>
        <v>8298.93</v>
      </c>
    </row>
    <row r="173" spans="1:8" ht="12.75">
      <c r="A173" s="84" t="s">
        <v>937</v>
      </c>
      <c r="B173" s="88"/>
      <c r="C173" s="88"/>
      <c r="D173" s="84" t="s">
        <v>938</v>
      </c>
      <c r="E173" s="88"/>
      <c r="F173" s="89"/>
      <c r="G173" s="84"/>
      <c r="H173" s="90">
        <f>SUM(H174:H177)</f>
        <v>5863.86</v>
      </c>
    </row>
    <row r="174" spans="1:8" ht="45">
      <c r="A174" s="40" t="s">
        <v>939</v>
      </c>
      <c r="B174" s="41" t="s">
        <v>354</v>
      </c>
      <c r="C174" s="41" t="str">
        <f>VLOOKUP(B174,'Insumos e Serviços'!$A:$F,2,0)</f>
        <v>SINAPI</v>
      </c>
      <c r="D174" s="189" t="str">
        <f>VLOOKUP(B174,'Insumos e Serviços'!$A:$F,4,0)</f>
        <v>(COMPOSIÇÃO REPRESENTATIVA) DO SERVIÇO DE INST. TUBO PVC, SÉRIE N, ESGOTO PREDIAL, 100 MM (INST. RAMAL DESCARGA, RAMAL DE ESG. SANIT., PRUMADA ESG. SANIT., VENTILAÇÃO OU SUB-COLETOR AÉREO), INCL. CONEXÕES E CORTES, FIXAÇÕES, P/ PRÉDIOS. AF_10/2015</v>
      </c>
      <c r="E174" s="41" t="str">
        <f>VLOOKUP(B174,'Insumos e Serviços'!$A:$F,5,0)</f>
        <v>M</v>
      </c>
      <c r="F174" s="42">
        <v>27</v>
      </c>
      <c r="G174" s="42">
        <f>VLOOKUP(B174,'Insumos e Serviços'!$A:$F,6,0)</f>
        <v>74.45</v>
      </c>
      <c r="H174" s="42">
        <f>TRUNC(F174*G174,2)</f>
        <v>2010.15</v>
      </c>
    </row>
    <row r="175" spans="1:8" ht="45">
      <c r="A175" s="40" t="s">
        <v>940</v>
      </c>
      <c r="B175" s="41" t="s">
        <v>356</v>
      </c>
      <c r="C175" s="41" t="str">
        <f>VLOOKUP(B175,'Insumos e Serviços'!$A:$F,2,0)</f>
        <v>SINAPI</v>
      </c>
      <c r="D175" s="189" t="str">
        <f>VLOOKUP(B175,'Insumos e Serviços'!$A:$F,4,0)</f>
        <v>(COMPOSIÇÃO REPRESENTATIVA) DO SERVIÇO DE INST. TUBO PVC, SÉRIE N, ESGOTO PREDIAL, DN 75 MM, (INST. EM RAMAL DE DESCARGA, RAMAL DE ESG. SANITÁRIO, PRUMADA DE ESG. SANITÁRIO OU VENTILAÇÃO), INCL. CONEXÕES, CORTES E FIXAÇÕES, P/ PRÉDIOS. AF_10/2015</v>
      </c>
      <c r="E175" s="41" t="str">
        <f>VLOOKUP(B175,'Insumos e Serviços'!$A:$F,5,0)</f>
        <v>M</v>
      </c>
      <c r="F175" s="42">
        <v>48</v>
      </c>
      <c r="G175" s="42">
        <f>VLOOKUP(B175,'Insumos e Serviços'!$A:$F,6,0)</f>
        <v>45.21</v>
      </c>
      <c r="H175" s="42">
        <f>TRUNC(F175*G175,2)</f>
        <v>2170.08</v>
      </c>
    </row>
    <row r="176" spans="1:8" ht="45">
      <c r="A176" s="40" t="s">
        <v>941</v>
      </c>
      <c r="B176" s="41" t="s">
        <v>358</v>
      </c>
      <c r="C176" s="41" t="str">
        <f>VLOOKUP(B176,'Insumos e Serviços'!$A:$F,2,0)</f>
        <v>SINAPI</v>
      </c>
      <c r="D176" s="189" t="str">
        <f>VLOOKUP(B176,'Insumos e Serviços'!$A:$F,4,0)</f>
        <v>(COMPOSIÇÃO REPRESENTATIVA) DO SERVIÇO DE INSTALAÇÃO DE TUBO DE PVC, SÉRIE NORMAL, ESGOTO PREDIAL, DN 50 MM (INSTALADO EM RAMAL DE DESCARGA OU RAMAL DE ESGOTO SANITÁRIO), INCLUSIVE CONEXÕES, CORTES E FIXAÇÕES PARA, PRÉDIOS. AF_10/2015</v>
      </c>
      <c r="E176" s="41" t="str">
        <f>VLOOKUP(B176,'Insumos e Serviços'!$A:$F,5,0)</f>
        <v>M</v>
      </c>
      <c r="F176" s="42">
        <v>5</v>
      </c>
      <c r="G176" s="42">
        <f>VLOOKUP(B176,'Insumos e Serviços'!$A:$F,6,0)</f>
        <v>89.85</v>
      </c>
      <c r="H176" s="42">
        <f>TRUNC(F176*G176,2)</f>
        <v>449.25</v>
      </c>
    </row>
    <row r="177" spans="1:8" ht="45">
      <c r="A177" s="40" t="s">
        <v>942</v>
      </c>
      <c r="B177" s="41" t="s">
        <v>360</v>
      </c>
      <c r="C177" s="41" t="str">
        <f>VLOOKUP(B177,'Insumos e Serviços'!$A:$F,2,0)</f>
        <v>SINAPI</v>
      </c>
      <c r="D177" s="189" t="str">
        <f>VLOOKUP(B177,'Insumos e Serviços'!$A:$F,4,0)</f>
        <v>(COMPOSIÇÃO REPRESENTATIVA) DO SERVIÇO DE INSTALAÇÃO DE TUBO DE PVC, SÉRIE NORMAL, ESGOTO PREDIAL, DN 40 MM (INSTALADO EM RAMAL DE DESCARGA OU RAMAL DE ESGOTO SANITÁRIO), INCLUSIVE CONEXÕES, CORTES E FIXAÇÕES, PARA PRÉDIOS. AF_10/2015</v>
      </c>
      <c r="E177" s="41" t="str">
        <f>VLOOKUP(B177,'Insumos e Serviços'!$A:$F,5,0)</f>
        <v>M</v>
      </c>
      <c r="F177" s="42">
        <v>21</v>
      </c>
      <c r="G177" s="42">
        <f>VLOOKUP(B177,'Insumos e Serviços'!$A:$F,6,0)</f>
        <v>58.78</v>
      </c>
      <c r="H177" s="42">
        <f>TRUNC(F177*G177,2)</f>
        <v>1234.38</v>
      </c>
    </row>
    <row r="178" spans="1:8" ht="12.75">
      <c r="A178" s="84" t="s">
        <v>943</v>
      </c>
      <c r="B178" s="88"/>
      <c r="C178" s="88"/>
      <c r="D178" s="84" t="s">
        <v>944</v>
      </c>
      <c r="E178" s="88"/>
      <c r="F178" s="89"/>
      <c r="G178" s="84"/>
      <c r="H178" s="90">
        <f>SUM(H179:H182)</f>
        <v>2435.0699999999997</v>
      </c>
    </row>
    <row r="179" spans="1:8" ht="22.5">
      <c r="A179" s="40" t="s">
        <v>945</v>
      </c>
      <c r="B179" s="41" t="s">
        <v>946</v>
      </c>
      <c r="C179" s="41" t="s">
        <v>160</v>
      </c>
      <c r="D179" s="189" t="s">
        <v>947</v>
      </c>
      <c r="E179" s="41" t="s">
        <v>168</v>
      </c>
      <c r="F179" s="42">
        <v>3</v>
      </c>
      <c r="G179" s="42">
        <f>VLOOKUP(A179,'Orçamento Analítico'!$A:$H,8,0)</f>
        <v>131.76999999999998</v>
      </c>
      <c r="H179" s="42">
        <f>TRUNC(F179*G179,2)</f>
        <v>395.31</v>
      </c>
    </row>
    <row r="180" spans="1:8" ht="33.75">
      <c r="A180" s="40" t="s">
        <v>948</v>
      </c>
      <c r="B180" s="41" t="s">
        <v>362</v>
      </c>
      <c r="C180" s="41" t="str">
        <f>VLOOKUP(B180,'Insumos e Serviços'!$A:$F,2,0)</f>
        <v>SINAPI</v>
      </c>
      <c r="D180" s="189" t="str">
        <f>VLOOKUP(B180,'Insumos e Serviços'!$A:$F,4,0)</f>
        <v>CAIXA SIFONADA, PVC, DN 150 X 185 X 75 MM, JUNTA ELÁSTICA, FORNECIDA E INSTALADA EM RAMAL DE DESCARGA OU EM RAMAL DE ESGOTO SANITÁRIO. AF_12/2014</v>
      </c>
      <c r="E180" s="41" t="str">
        <f>VLOOKUP(B180,'Insumos e Serviços'!$A:$F,5,0)</f>
        <v>UN</v>
      </c>
      <c r="F180" s="42">
        <v>6</v>
      </c>
      <c r="G180" s="42">
        <f>VLOOKUP(B180,'Insumos e Serviços'!$A:$F,6,0)</f>
        <v>91.3</v>
      </c>
      <c r="H180" s="42">
        <f>TRUNC(F180*G180,2)</f>
        <v>547.8</v>
      </c>
    </row>
    <row r="181" spans="1:8" s="80" customFormat="1" ht="22.5">
      <c r="A181" s="40" t="s">
        <v>949</v>
      </c>
      <c r="B181" s="41" t="s">
        <v>364</v>
      </c>
      <c r="C181" s="41" t="str">
        <f>VLOOKUP(B181,'Insumos e Serviços'!$A:$F,2,0)</f>
        <v>SINAPI</v>
      </c>
      <c r="D181" s="189" t="str">
        <f>VLOOKUP(B181,'Insumos e Serviços'!$A:$F,4,0)</f>
        <v>CAIXA DE GORDURA PEQUENA (CAPACIDADE: 19 L), CIRCULAR, EM PVC, DIÂMETRO INTERNO= 0,3 M. AF_05/2018</v>
      </c>
      <c r="E181" s="41" t="str">
        <f>VLOOKUP(B181,'Insumos e Serviços'!$A:$F,5,0)</f>
        <v>UN</v>
      </c>
      <c r="F181" s="42">
        <v>1</v>
      </c>
      <c r="G181" s="42">
        <f>VLOOKUP(B181,'Insumos e Serviços'!$A:$F,6,0)</f>
        <v>393.9</v>
      </c>
      <c r="H181" s="42">
        <f>TRUNC(F181*G181,2)</f>
        <v>393.9</v>
      </c>
    </row>
    <row r="182" spans="1:8" ht="22.5">
      <c r="A182" s="40" t="s">
        <v>950</v>
      </c>
      <c r="B182" s="41" t="s">
        <v>951</v>
      </c>
      <c r="C182" s="41" t="s">
        <v>160</v>
      </c>
      <c r="D182" s="189" t="s">
        <v>952</v>
      </c>
      <c r="E182" s="41" t="s">
        <v>161</v>
      </c>
      <c r="F182" s="42">
        <v>1</v>
      </c>
      <c r="G182" s="42">
        <f>VLOOKUP(A182,'Orçamento Analítico'!$A:$H,8,0)</f>
        <v>1098.0600000000002</v>
      </c>
      <c r="H182" s="42">
        <f>TRUNC(F182*G182,2)</f>
        <v>1098.06</v>
      </c>
    </row>
    <row r="183" spans="1:8" ht="12.75">
      <c r="A183" s="84" t="s">
        <v>953</v>
      </c>
      <c r="B183" s="88"/>
      <c r="C183" s="88"/>
      <c r="D183" s="84" t="s">
        <v>954</v>
      </c>
      <c r="E183" s="88"/>
      <c r="F183" s="89"/>
      <c r="G183" s="84"/>
      <c r="H183" s="90">
        <f>H184</f>
        <v>15379.129999999997</v>
      </c>
    </row>
    <row r="184" spans="1:8" ht="12.75">
      <c r="A184" s="84" t="s">
        <v>955</v>
      </c>
      <c r="B184" s="88"/>
      <c r="C184" s="88"/>
      <c r="D184" s="84" t="s">
        <v>938</v>
      </c>
      <c r="E184" s="88"/>
      <c r="F184" s="89"/>
      <c r="G184" s="84"/>
      <c r="H184" s="90">
        <f>SUM(H185:H191)</f>
        <v>15379.129999999997</v>
      </c>
    </row>
    <row r="185" spans="1:8" ht="33.75">
      <c r="A185" s="40" t="s">
        <v>956</v>
      </c>
      <c r="B185" s="41" t="s">
        <v>957</v>
      </c>
      <c r="C185" s="41" t="s">
        <v>160</v>
      </c>
      <c r="D185" s="189" t="s">
        <v>958</v>
      </c>
      <c r="E185" s="41" t="s">
        <v>167</v>
      </c>
      <c r="F185" s="42">
        <v>39</v>
      </c>
      <c r="G185" s="42">
        <f>VLOOKUP(A185,'Orçamento Analítico'!$A:$H,8,0)</f>
        <v>173.32999999999998</v>
      </c>
      <c r="H185" s="42">
        <f aca="true" t="shared" si="7" ref="H185:H191">TRUNC(F185*G185,2)</f>
        <v>6759.87</v>
      </c>
    </row>
    <row r="186" spans="1:8" ht="22.5">
      <c r="A186" s="40" t="s">
        <v>959</v>
      </c>
      <c r="B186" s="41" t="s">
        <v>366</v>
      </c>
      <c r="C186" s="41" t="str">
        <f>VLOOKUP(B186,'Insumos e Serviços'!$A:$F,2,0)</f>
        <v>SINAPI</v>
      </c>
      <c r="D186" s="189" t="str">
        <f>VLOOKUP(B186,'Insumos e Serviços'!$A:$F,4,0)</f>
        <v>TUBO, PVC, SOLDÁVEL, DN 85MM, INSTALADO EM PRUMADA DE ÁGUA - FORNECIMENTO E INSTALAÇÃO. AF_12/2014</v>
      </c>
      <c r="E186" s="41" t="str">
        <f>VLOOKUP(B186,'Insumos e Serviços'!$A:$F,5,0)</f>
        <v>M</v>
      </c>
      <c r="F186" s="42">
        <v>7</v>
      </c>
      <c r="G186" s="42">
        <f>VLOOKUP(B186,'Insumos e Serviços'!$A:$F,6,0)</f>
        <v>67.89</v>
      </c>
      <c r="H186" s="42">
        <f t="shared" si="7"/>
        <v>475.23</v>
      </c>
    </row>
    <row r="187" spans="1:8" ht="33.75">
      <c r="A187" s="40" t="s">
        <v>960</v>
      </c>
      <c r="B187" s="41" t="s">
        <v>914</v>
      </c>
      <c r="C187" s="41" t="s">
        <v>160</v>
      </c>
      <c r="D187" s="189" t="s">
        <v>915</v>
      </c>
      <c r="E187" s="41" t="s">
        <v>177</v>
      </c>
      <c r="F187" s="42">
        <v>32</v>
      </c>
      <c r="G187" s="42">
        <f>VLOOKUP(A187,'Orçamento Analítico'!$A:$H,8,0)</f>
        <v>88.85000000000001</v>
      </c>
      <c r="H187" s="42">
        <f t="shared" si="7"/>
        <v>2843.2</v>
      </c>
    </row>
    <row r="188" spans="1:8" ht="33.75">
      <c r="A188" s="40" t="s">
        <v>961</v>
      </c>
      <c r="B188" s="41" t="s">
        <v>368</v>
      </c>
      <c r="C188" s="41" t="str">
        <f>VLOOKUP(B188,'Insumos e Serviços'!$A:$F,2,0)</f>
        <v>SINAPI</v>
      </c>
      <c r="D188" s="189" t="str">
        <f>VLOOKUP(B188,'Insumos e Serviços'!$A:$F,4,0)</f>
        <v>(COMPOSIÇÃO REPRESENTATIVA) DO SERVIÇO DE INSTALAÇÃO DE TUBOS DE PVC, SOLDÁVEL, ÁGUA FRIA, DN 50 MM (INSTALADO EM PRUMADA), INCLUSIVE CONEXÕES, CORTES E FIXAÇÕES, PARA PRÉDIOS. AF_10/2015</v>
      </c>
      <c r="E188" s="41" t="str">
        <f>VLOOKUP(B188,'Insumos e Serviços'!$A:$F,5,0)</f>
        <v>M</v>
      </c>
      <c r="F188" s="42">
        <v>59</v>
      </c>
      <c r="G188" s="42">
        <f>VLOOKUP(B188,'Insumos e Serviços'!$A:$F,6,0)</f>
        <v>45.83</v>
      </c>
      <c r="H188" s="42">
        <f t="shared" si="7"/>
        <v>2703.97</v>
      </c>
    </row>
    <row r="189" spans="1:8" ht="45">
      <c r="A189" s="40" t="s">
        <v>962</v>
      </c>
      <c r="B189" s="41" t="s">
        <v>346</v>
      </c>
      <c r="C189" s="41" t="str">
        <f>VLOOKUP(B189,'Insumos e Serviços'!$A:$F,2,0)</f>
        <v>SINAPI</v>
      </c>
      <c r="D189" s="189" t="str">
        <f>VLOOKUP(B189,'Insumos e Serviços'!$A:$F,4,0)</f>
        <v>(COMPOSIÇÃO REPRESENTATIVA) DO SERVIÇO DE INSTALAÇÃO DE TUBOS DE PVC, SOLDÁVEL, ÁGUA FRIA, DN 25 MM (INSTALADO EM RAMAL, SUB-RAMAL, RAMAL DE DISTRIBUIÇÃO OU PRUMADA), INCLUSIVE CONEXÕES, CORTES E FIXAÇÕES, PARA PRÉDIOS. AF_10/2015</v>
      </c>
      <c r="E189" s="41" t="str">
        <f>VLOOKUP(B189,'Insumos e Serviços'!$A:$F,5,0)</f>
        <v>M</v>
      </c>
      <c r="F189" s="42">
        <v>26</v>
      </c>
      <c r="G189" s="42">
        <f>VLOOKUP(B189,'Insumos e Serviços'!$A:$F,6,0)</f>
        <v>42.88</v>
      </c>
      <c r="H189" s="42">
        <f t="shared" si="7"/>
        <v>1114.88</v>
      </c>
    </row>
    <row r="190" spans="1:8" ht="22.5">
      <c r="A190" s="40" t="s">
        <v>963</v>
      </c>
      <c r="B190" s="41" t="s">
        <v>370</v>
      </c>
      <c r="C190" s="41" t="str">
        <f>VLOOKUP(B190,'Insumos e Serviços'!$A:$F,2,0)</f>
        <v>SINAPI</v>
      </c>
      <c r="D190" s="189" t="str">
        <f>VLOOKUP(B190,'Insumos e Serviços'!$A:$F,4,0)</f>
        <v>TE, PVC, SOLDÁVEL, DN 85MM, INSTALADO EM PRUMADA DE ÁGUA - FORNECIMENTO E INSTALAÇÃO. AF_12/2014</v>
      </c>
      <c r="E190" s="41" t="str">
        <f>VLOOKUP(B190,'Insumos e Serviços'!$A:$F,5,0)</f>
        <v>UN</v>
      </c>
      <c r="F190" s="42">
        <v>8</v>
      </c>
      <c r="G190" s="42">
        <f>VLOOKUP(B190,'Insumos e Serviços'!$A:$F,6,0)</f>
        <v>147.14</v>
      </c>
      <c r="H190" s="42">
        <f t="shared" si="7"/>
        <v>1177.12</v>
      </c>
    </row>
    <row r="191" spans="1:8" ht="22.5">
      <c r="A191" s="40" t="s">
        <v>964</v>
      </c>
      <c r="B191" s="41" t="s">
        <v>372</v>
      </c>
      <c r="C191" s="41" t="str">
        <f>VLOOKUP(B191,'Insumos e Serviços'!$A:$F,2,0)</f>
        <v>SINAPI</v>
      </c>
      <c r="D191" s="189" t="str">
        <f>VLOOKUP(B191,'Insumos e Serviços'!$A:$F,4,0)</f>
        <v>JOELHO 90 GRAUS, PVC, SOLDÁVEL, DN 85MM, INSTALADO EM PRUMADA DE ÁGUA - FORNECIMENTO E INSTALAÇÃO. AF_12/2014</v>
      </c>
      <c r="E191" s="41" t="str">
        <f>VLOOKUP(B191,'Insumos e Serviços'!$A:$F,5,0)</f>
        <v>UN</v>
      </c>
      <c r="F191" s="42">
        <v>2</v>
      </c>
      <c r="G191" s="42">
        <f>VLOOKUP(B191,'Insumos e Serviços'!$A:$F,6,0)</f>
        <v>152.43</v>
      </c>
      <c r="H191" s="42">
        <f t="shared" si="7"/>
        <v>304.86</v>
      </c>
    </row>
    <row r="192" spans="1:8" ht="12.75">
      <c r="A192" s="84" t="s">
        <v>965</v>
      </c>
      <c r="B192" s="88"/>
      <c r="C192" s="88"/>
      <c r="D192" s="84" t="s">
        <v>194</v>
      </c>
      <c r="E192" s="88"/>
      <c r="F192" s="89"/>
      <c r="G192" s="84"/>
      <c r="H192" s="90">
        <f>H193</f>
        <v>1718.86</v>
      </c>
    </row>
    <row r="193" spans="1:8" ht="12.75">
      <c r="A193" s="84" t="s">
        <v>966</v>
      </c>
      <c r="B193" s="88"/>
      <c r="C193" s="88"/>
      <c r="D193" s="84" t="s">
        <v>967</v>
      </c>
      <c r="E193" s="88"/>
      <c r="F193" s="89"/>
      <c r="G193" s="84"/>
      <c r="H193" s="90">
        <f>SUM(H194:H199)</f>
        <v>1718.86</v>
      </c>
    </row>
    <row r="194" spans="1:8" ht="22.5">
      <c r="A194" s="40" t="s">
        <v>968</v>
      </c>
      <c r="B194" s="41" t="s">
        <v>179</v>
      </c>
      <c r="C194" s="41" t="s">
        <v>160</v>
      </c>
      <c r="D194" s="189" t="s">
        <v>180</v>
      </c>
      <c r="E194" s="41" t="s">
        <v>177</v>
      </c>
      <c r="F194" s="42">
        <v>103</v>
      </c>
      <c r="G194" s="42">
        <f>VLOOKUP(A194,'Orçamento Analítico'!$A:$H,8,0)</f>
        <v>7.46</v>
      </c>
      <c r="H194" s="42">
        <f aca="true" t="shared" si="8" ref="H194:H199">TRUNC(F194*G194,2)</f>
        <v>768.38</v>
      </c>
    </row>
    <row r="195" spans="1:8" ht="33.75">
      <c r="A195" s="40" t="s">
        <v>969</v>
      </c>
      <c r="B195" s="41" t="s">
        <v>374</v>
      </c>
      <c r="C195" s="41" t="str">
        <f>VLOOKUP(B195,'Insumos e Serviços'!$A:$F,2,0)</f>
        <v>SINAPI</v>
      </c>
      <c r="D195" s="189" t="str">
        <f>VLOOKUP(B195,'Insumos e Serviços'!$A:$F,4,0)</f>
        <v>FIXAÇÃO DE TUBOS HORIZONTAIS DE PVC, CPVC OU COBRE DIÂMETROS MAIORES QUE 75 MM COM ABRAÇADEIRA METÁLICA FLEXÍVEL 18 MM, FIXADA DIRETAMENTE NA LAJE. AF_05/2015</v>
      </c>
      <c r="E195" s="41" t="str">
        <f>VLOOKUP(B195,'Insumos e Serviços'!$A:$F,5,0)</f>
        <v>M</v>
      </c>
      <c r="F195" s="42">
        <v>27</v>
      </c>
      <c r="G195" s="42">
        <f>VLOOKUP(B195,'Insumos e Serviços'!$A:$F,6,0)</f>
        <v>6.42</v>
      </c>
      <c r="H195" s="42">
        <f t="shared" si="8"/>
        <v>173.34</v>
      </c>
    </row>
    <row r="196" spans="1:8" ht="33.75">
      <c r="A196" s="40" t="s">
        <v>970</v>
      </c>
      <c r="B196" s="41" t="s">
        <v>376</v>
      </c>
      <c r="C196" s="41" t="str">
        <f>VLOOKUP(B196,'Insumos e Serviços'!$A:$F,2,0)</f>
        <v>SINAPI</v>
      </c>
      <c r="D196" s="189" t="str">
        <f>VLOOKUP(B196,'Insumos e Serviços'!$A:$F,4,0)</f>
        <v>FIXAÇÃO DE TUBOS HORIZONTAIS DE PVC, CPVC OU COBRE DIÂMETROS MAIORES QUE 40 MM E MENORES OU IGUAIS A 75 MM COM ABRAÇADEIRA METÁLICA FLEXÍVEL 18 MM, FIXADA DIRETAMENTE NA LAJE. AF_05/2015</v>
      </c>
      <c r="E196" s="41" t="str">
        <f>VLOOKUP(B196,'Insumos e Serviços'!$A:$F,5,0)</f>
        <v>M</v>
      </c>
      <c r="F196" s="42">
        <v>79</v>
      </c>
      <c r="G196" s="42">
        <f>VLOOKUP(B196,'Insumos e Serviços'!$A:$F,6,0)</f>
        <v>5.59</v>
      </c>
      <c r="H196" s="42">
        <f t="shared" si="8"/>
        <v>441.61</v>
      </c>
    </row>
    <row r="197" spans="1:8" ht="22.5">
      <c r="A197" s="40" t="s">
        <v>971</v>
      </c>
      <c r="B197" s="41" t="s">
        <v>195</v>
      </c>
      <c r="C197" s="41" t="str">
        <f>VLOOKUP(B197,'Insumos e Serviços'!$A:$F,2,0)</f>
        <v>SINAPI</v>
      </c>
      <c r="D197" s="189" t="str">
        <f>VLOOKUP(B197,'Insumos e Serviços'!$A:$F,4,0)</f>
        <v>ESCAVAÇÃO MANUAL DE VALA COM PROFUNDIDADE MENOR OU IGUAL A 1,30 M. AF_03/2016</v>
      </c>
      <c r="E197" s="41" t="str">
        <f>VLOOKUP(B197,'Insumos e Serviços'!$A:$F,5,0)</f>
        <v>m³</v>
      </c>
      <c r="F197" s="42">
        <v>1</v>
      </c>
      <c r="G197" s="42">
        <f>VLOOKUP(B197,'Insumos e Serviços'!$A:$F,6,0)</f>
        <v>73.77</v>
      </c>
      <c r="H197" s="42">
        <f t="shared" si="8"/>
        <v>73.77</v>
      </c>
    </row>
    <row r="198" spans="1:8" ht="12.75">
      <c r="A198" s="40" t="s">
        <v>972</v>
      </c>
      <c r="B198" s="41" t="s">
        <v>379</v>
      </c>
      <c r="C198" s="41" t="str">
        <f>VLOOKUP(B198,'Insumos e Serviços'!$A:$F,2,0)</f>
        <v>SINAPI</v>
      </c>
      <c r="D198" s="189" t="str">
        <f>VLOOKUP(B198,'Insumos e Serviços'!$A:$F,4,0)</f>
        <v>REATERRO MANUAL DE VALAS COM COMPACTAÇÃO MECANIZADA. AF_04/2016</v>
      </c>
      <c r="E198" s="41" t="str">
        <f>VLOOKUP(B198,'Insumos e Serviços'!$A:$F,5,0)</f>
        <v>m³</v>
      </c>
      <c r="F198" s="42">
        <v>1</v>
      </c>
      <c r="G198" s="42">
        <f>VLOOKUP(B198,'Insumos e Serviços'!$A:$F,6,0)</f>
        <v>27.24</v>
      </c>
      <c r="H198" s="42">
        <f t="shared" si="8"/>
        <v>27.24</v>
      </c>
    </row>
    <row r="199" spans="1:8" s="80" customFormat="1" ht="11.25">
      <c r="A199" s="40" t="s">
        <v>973</v>
      </c>
      <c r="B199" s="41" t="s">
        <v>172</v>
      </c>
      <c r="C199" s="41" t="str">
        <f>VLOOKUP(B199,'Insumos e Serviços'!$A:$F,2,0)</f>
        <v>SINAPI</v>
      </c>
      <c r="D199" s="189" t="str">
        <f>VLOOKUP(B199,'Insumos e Serviços'!$A:$F,4,0)</f>
        <v>FURO EM CONCRETO PARA DIÂMETROS MAIORES QUE 75 MM. AF_05/2015</v>
      </c>
      <c r="E199" s="41" t="str">
        <f>VLOOKUP(B199,'Insumos e Serviços'!$A:$F,5,0)</f>
        <v>UN</v>
      </c>
      <c r="F199" s="42">
        <v>2</v>
      </c>
      <c r="G199" s="42">
        <f>VLOOKUP(B199,'Insumos e Serviços'!$A:$F,6,0)</f>
        <v>117.26</v>
      </c>
      <c r="H199" s="42">
        <f t="shared" si="8"/>
        <v>234.52</v>
      </c>
    </row>
    <row r="200" spans="1:8" ht="12.75">
      <c r="A200" s="83" t="s">
        <v>130</v>
      </c>
      <c r="B200" s="85"/>
      <c r="C200" s="85"/>
      <c r="D200" s="83" t="s">
        <v>131</v>
      </c>
      <c r="E200" s="85"/>
      <c r="F200" s="86"/>
      <c r="G200" s="83"/>
      <c r="H200" s="87">
        <f>H201</f>
        <v>4743.91</v>
      </c>
    </row>
    <row r="201" spans="1:8" ht="12.75">
      <c r="A201" s="84" t="s">
        <v>974</v>
      </c>
      <c r="B201" s="88"/>
      <c r="C201" s="88"/>
      <c r="D201" s="84" t="s">
        <v>975</v>
      </c>
      <c r="E201" s="88"/>
      <c r="F201" s="89"/>
      <c r="G201" s="84"/>
      <c r="H201" s="90">
        <f>H202</f>
        <v>4743.91</v>
      </c>
    </row>
    <row r="202" spans="1:8" ht="12.75">
      <c r="A202" s="84" t="s">
        <v>976</v>
      </c>
      <c r="B202" s="88"/>
      <c r="C202" s="88"/>
      <c r="D202" s="84" t="s">
        <v>977</v>
      </c>
      <c r="E202" s="88"/>
      <c r="F202" s="89"/>
      <c r="G202" s="84"/>
      <c r="H202" s="90">
        <f>SUM(H203:H208)</f>
        <v>4743.91</v>
      </c>
    </row>
    <row r="203" spans="1:8" ht="45">
      <c r="A203" s="40" t="s">
        <v>978</v>
      </c>
      <c r="B203" s="41" t="s">
        <v>979</v>
      </c>
      <c r="C203" s="41" t="s">
        <v>160</v>
      </c>
      <c r="D203" s="189" t="s">
        <v>980</v>
      </c>
      <c r="E203" s="41" t="s">
        <v>161</v>
      </c>
      <c r="F203" s="42">
        <v>3</v>
      </c>
      <c r="G203" s="42">
        <f>VLOOKUP(A203,'Orçamento Analítico'!$A:$H,8,0)</f>
        <v>213.74</v>
      </c>
      <c r="H203" s="42">
        <f aca="true" t="shared" si="9" ref="H203:H208">TRUNC(F203*G203,2)</f>
        <v>641.22</v>
      </c>
    </row>
    <row r="204" spans="1:8" ht="33.75">
      <c r="A204" s="40" t="s">
        <v>981</v>
      </c>
      <c r="B204" s="41" t="s">
        <v>982</v>
      </c>
      <c r="C204" s="41" t="s">
        <v>160</v>
      </c>
      <c r="D204" s="189" t="s">
        <v>983</v>
      </c>
      <c r="E204" s="41" t="s">
        <v>161</v>
      </c>
      <c r="F204" s="42">
        <v>2</v>
      </c>
      <c r="G204" s="42">
        <f>VLOOKUP(A204,'Orçamento Analítico'!$A:$H,8,0)</f>
        <v>52.55</v>
      </c>
      <c r="H204" s="42">
        <f t="shared" si="9"/>
        <v>105.1</v>
      </c>
    </row>
    <row r="205" spans="1:8" ht="123.75">
      <c r="A205" s="40" t="s">
        <v>984</v>
      </c>
      <c r="B205" s="41" t="s">
        <v>985</v>
      </c>
      <c r="C205" s="41" t="s">
        <v>160</v>
      </c>
      <c r="D205" s="189" t="s">
        <v>986</v>
      </c>
      <c r="E205" s="41" t="s">
        <v>166</v>
      </c>
      <c r="F205" s="42">
        <v>5</v>
      </c>
      <c r="G205" s="42">
        <f>VLOOKUP(A205,'Orçamento Analítico'!$A:$H,8,0)</f>
        <v>137.3</v>
      </c>
      <c r="H205" s="42">
        <f t="shared" si="9"/>
        <v>686.5</v>
      </c>
    </row>
    <row r="206" spans="1:8" ht="33.75">
      <c r="A206" s="40" t="s">
        <v>987</v>
      </c>
      <c r="B206" s="41" t="s">
        <v>988</v>
      </c>
      <c r="C206" s="41" t="s">
        <v>160</v>
      </c>
      <c r="D206" s="189" t="s">
        <v>989</v>
      </c>
      <c r="E206" s="41" t="s">
        <v>161</v>
      </c>
      <c r="F206" s="42">
        <v>3</v>
      </c>
      <c r="G206" s="42">
        <f>VLOOKUP(A206,'Orçamento Analítico'!$A:$H,8,0)</f>
        <v>32.69</v>
      </c>
      <c r="H206" s="42">
        <f t="shared" si="9"/>
        <v>98.07</v>
      </c>
    </row>
    <row r="207" spans="1:8" ht="45">
      <c r="A207" s="40" t="s">
        <v>990</v>
      </c>
      <c r="B207" s="41" t="s">
        <v>991</v>
      </c>
      <c r="C207" s="41" t="s">
        <v>160</v>
      </c>
      <c r="D207" s="189" t="s">
        <v>992</v>
      </c>
      <c r="E207" s="41" t="s">
        <v>161</v>
      </c>
      <c r="F207" s="42">
        <v>12</v>
      </c>
      <c r="G207" s="42">
        <f>VLOOKUP(A207,'Orçamento Analítico'!$A:$H,8,0)</f>
        <v>211.51</v>
      </c>
      <c r="H207" s="42">
        <f t="shared" si="9"/>
        <v>2538.12</v>
      </c>
    </row>
    <row r="208" spans="1:8" ht="78.75">
      <c r="A208" s="40" t="s">
        <v>993</v>
      </c>
      <c r="B208" s="41" t="s">
        <v>994</v>
      </c>
      <c r="C208" s="41" t="s">
        <v>160</v>
      </c>
      <c r="D208" s="189" t="s">
        <v>995</v>
      </c>
      <c r="E208" s="41" t="s">
        <v>161</v>
      </c>
      <c r="F208" s="42">
        <v>1</v>
      </c>
      <c r="G208" s="42">
        <f>VLOOKUP(A208,'Orçamento Analítico'!$A:$H,8,0)</f>
        <v>674.9</v>
      </c>
      <c r="H208" s="42">
        <f t="shared" si="9"/>
        <v>674.9</v>
      </c>
    </row>
    <row r="209" spans="1:8" ht="12.75">
      <c r="A209" s="83" t="s">
        <v>132</v>
      </c>
      <c r="B209" s="85"/>
      <c r="C209" s="85"/>
      <c r="D209" s="83" t="s">
        <v>133</v>
      </c>
      <c r="E209" s="85"/>
      <c r="F209" s="86"/>
      <c r="G209" s="83"/>
      <c r="H209" s="87">
        <v>121.38</v>
      </c>
    </row>
    <row r="210" spans="1:8" ht="12.75">
      <c r="A210" s="84" t="s">
        <v>996</v>
      </c>
      <c r="B210" s="88"/>
      <c r="C210" s="88"/>
      <c r="D210" s="84" t="s">
        <v>997</v>
      </c>
      <c r="E210" s="88"/>
      <c r="F210" s="89"/>
      <c r="G210" s="84"/>
      <c r="H210" s="90">
        <v>121.38</v>
      </c>
    </row>
    <row r="211" spans="1:8" ht="12.75">
      <c r="A211" s="84" t="s">
        <v>998</v>
      </c>
      <c r="B211" s="88"/>
      <c r="C211" s="88"/>
      <c r="D211" s="84" t="s">
        <v>999</v>
      </c>
      <c r="E211" s="88"/>
      <c r="F211" s="89"/>
      <c r="G211" s="84"/>
      <c r="H211" s="90">
        <v>121.38</v>
      </c>
    </row>
    <row r="212" spans="1:8" ht="56.25">
      <c r="A212" s="40" t="s">
        <v>1000</v>
      </c>
      <c r="B212" s="41" t="s">
        <v>1001</v>
      </c>
      <c r="C212" s="41" t="s">
        <v>160</v>
      </c>
      <c r="D212" s="189" t="s">
        <v>1002</v>
      </c>
      <c r="E212" s="41" t="s">
        <v>161</v>
      </c>
      <c r="F212" s="42">
        <v>6</v>
      </c>
      <c r="G212" s="42">
        <f>VLOOKUP(A212,'Orçamento Analítico'!$A:$H,8,0)</f>
        <v>20.23</v>
      </c>
      <c r="H212" s="42">
        <f>TRUNC(F212*G212,2)</f>
        <v>121.38</v>
      </c>
    </row>
    <row r="213" spans="1:8" ht="12.75">
      <c r="A213" s="83" t="s">
        <v>134</v>
      </c>
      <c r="B213" s="85"/>
      <c r="C213" s="85"/>
      <c r="D213" s="83" t="s">
        <v>135</v>
      </c>
      <c r="E213" s="85"/>
      <c r="F213" s="86"/>
      <c r="G213" s="83"/>
      <c r="H213" s="87">
        <f>H214</f>
        <v>8575.68</v>
      </c>
    </row>
    <row r="214" spans="1:8" ht="12.75">
      <c r="A214" s="84" t="s">
        <v>1003</v>
      </c>
      <c r="B214" s="88"/>
      <c r="C214" s="88"/>
      <c r="D214" s="84" t="s">
        <v>1004</v>
      </c>
      <c r="E214" s="88"/>
      <c r="F214" s="89"/>
      <c r="G214" s="84"/>
      <c r="H214" s="90">
        <f>SUM(H215:H223)</f>
        <v>8575.68</v>
      </c>
    </row>
    <row r="215" spans="1:8" ht="12.75">
      <c r="A215" s="40" t="s">
        <v>1005</v>
      </c>
      <c r="B215" s="41" t="s">
        <v>1006</v>
      </c>
      <c r="C215" s="41" t="s">
        <v>160</v>
      </c>
      <c r="D215" s="189" t="s">
        <v>1007</v>
      </c>
      <c r="E215" s="41" t="s">
        <v>171</v>
      </c>
      <c r="F215" s="42">
        <v>59</v>
      </c>
      <c r="G215" s="42">
        <f>VLOOKUP(A215,'Orçamento Analítico'!$A:$H,8,0)</f>
        <v>88.88</v>
      </c>
      <c r="H215" s="42">
        <f aca="true" t="shared" si="10" ref="H215:H223">TRUNC(F215*G215,2)</f>
        <v>5243.92</v>
      </c>
    </row>
    <row r="216" spans="1:8" ht="22.5">
      <c r="A216" s="40" t="s">
        <v>1008</v>
      </c>
      <c r="B216" s="41" t="s">
        <v>382</v>
      </c>
      <c r="C216" s="41" t="str">
        <f>VLOOKUP(B216,'Insumos e Serviços'!$A:$F,2,0)</f>
        <v>SINAPI</v>
      </c>
      <c r="D216" s="189" t="str">
        <f>VLOOKUP(B216,'Insumos e Serviços'!$A:$F,4,0)</f>
        <v>TRANSPORTE HORIZONTAL MANUAL, DE SACOS DE 30 KG (UNIDADE: KGXKM). AF_07/2019</v>
      </c>
      <c r="E216" s="41" t="str">
        <f>VLOOKUP(B216,'Insumos e Serviços'!$A:$F,5,0)</f>
        <v>KGXKM</v>
      </c>
      <c r="F216" s="42">
        <v>450</v>
      </c>
      <c r="G216" s="42">
        <f>VLOOKUP(B216,'Insumos e Serviços'!$A:$F,6,0)</f>
        <v>1.14</v>
      </c>
      <c r="H216" s="42">
        <f t="shared" si="10"/>
        <v>513</v>
      </c>
    </row>
    <row r="217" spans="1:8" ht="22.5">
      <c r="A217" s="40" t="s">
        <v>1009</v>
      </c>
      <c r="B217" s="41" t="s">
        <v>382</v>
      </c>
      <c r="C217" s="41" t="str">
        <f>VLOOKUP(B217,'Insumos e Serviços'!$A:$F,2,0)</f>
        <v>SINAPI</v>
      </c>
      <c r="D217" s="189" t="str">
        <f>VLOOKUP(B217,'Insumos e Serviços'!$A:$F,4,0)</f>
        <v>TRANSPORTE HORIZONTAL MANUAL, DE SACOS DE 30 KG (UNIDADE: KGXKM). AF_07/2019</v>
      </c>
      <c r="E217" s="41" t="str">
        <f>VLOOKUP(B217,'Insumos e Serviços'!$A:$F,5,0)</f>
        <v>KGXKM</v>
      </c>
      <c r="F217" s="42">
        <v>450</v>
      </c>
      <c r="G217" s="42">
        <f>VLOOKUP(B217,'Insumos e Serviços'!$A:$F,6,0)</f>
        <v>1.14</v>
      </c>
      <c r="H217" s="42">
        <f t="shared" si="10"/>
        <v>513</v>
      </c>
    </row>
    <row r="218" spans="1:8" s="80" customFormat="1" ht="11.25">
      <c r="A218" s="40" t="s">
        <v>1010</v>
      </c>
      <c r="B218" s="41" t="s">
        <v>191</v>
      </c>
      <c r="C218" s="41" t="str">
        <f>VLOOKUP(B218,'Insumos e Serviços'!$A:$F,2,0)</f>
        <v>SINAPI</v>
      </c>
      <c r="D218" s="189" t="str">
        <f>VLOOKUP(B218,'Insumos e Serviços'!$A:$F,4,0)</f>
        <v>LIMPEZA DE PISO CERÂMICO OU PORCELANATO COM PANO ÚMIDO. AF_04/2019</v>
      </c>
      <c r="E218" s="41" t="str">
        <f>VLOOKUP(B218,'Insumos e Serviços'!$A:$F,5,0)</f>
        <v>m²</v>
      </c>
      <c r="F218" s="42">
        <v>473</v>
      </c>
      <c r="G218" s="42">
        <f>VLOOKUP(B218,'Insumos e Serviços'!$A:$F,6,0)</f>
        <v>1.8</v>
      </c>
      <c r="H218" s="42">
        <f t="shared" si="10"/>
        <v>851.4</v>
      </c>
    </row>
    <row r="219" spans="1:8" s="80" customFormat="1" ht="22.5">
      <c r="A219" s="40" t="s">
        <v>1011</v>
      </c>
      <c r="B219" s="41" t="s">
        <v>386</v>
      </c>
      <c r="C219" s="41" t="str">
        <f>VLOOKUP(B219,'Insumos e Serviços'!$A:$F,2,0)</f>
        <v>SINAPI</v>
      </c>
      <c r="D219" s="189" t="str">
        <f>VLOOKUP(B219,'Insumos e Serviços'!$A:$F,4,0)</f>
        <v>LIMPEZA DE LAVATÓRIO DE LOUÇA COM BANCADA DE PEDRA, INCLUSIVE METAIS CORRESPONDENTES. AF_04/2019</v>
      </c>
      <c r="E219" s="41" t="str">
        <f>VLOOKUP(B219,'Insumos e Serviços'!$A:$F,5,0)</f>
        <v>UN</v>
      </c>
      <c r="F219" s="42">
        <v>23</v>
      </c>
      <c r="G219" s="42">
        <f>VLOOKUP(B219,'Insumos e Serviços'!$A:$F,6,0)</f>
        <v>4.47</v>
      </c>
      <c r="H219" s="42">
        <f t="shared" si="10"/>
        <v>102.81</v>
      </c>
    </row>
    <row r="220" spans="1:8" ht="12.75">
      <c r="A220" s="40" t="s">
        <v>1012</v>
      </c>
      <c r="B220" s="41" t="s">
        <v>388</v>
      </c>
      <c r="C220" s="41" t="str">
        <f>VLOOKUP(B220,'Insumos e Serviços'!$A:$F,2,0)</f>
        <v>SINAPI</v>
      </c>
      <c r="D220" s="189" t="str">
        <f>VLOOKUP(B220,'Insumos e Serviços'!$A:$F,4,0)</f>
        <v>LIMPEZA DE CONTRAPISO COM VASSOURA A SECO. AF_04/2019</v>
      </c>
      <c r="E220" s="41" t="str">
        <f>VLOOKUP(B220,'Insumos e Serviços'!$A:$F,5,0)</f>
        <v>m²</v>
      </c>
      <c r="F220" s="42">
        <v>93</v>
      </c>
      <c r="G220" s="42">
        <f>VLOOKUP(B220,'Insumos e Serviços'!$A:$F,6,0)</f>
        <v>3.07</v>
      </c>
      <c r="H220" s="42">
        <f t="shared" si="10"/>
        <v>285.51</v>
      </c>
    </row>
    <row r="221" spans="1:8" ht="22.5">
      <c r="A221" s="40" t="s">
        <v>1013</v>
      </c>
      <c r="B221" s="41" t="s">
        <v>390</v>
      </c>
      <c r="C221" s="41" t="str">
        <f>VLOOKUP(B221,'Insumos e Serviços'!$A:$F,2,0)</f>
        <v>SINAPI</v>
      </c>
      <c r="D221" s="189" t="str">
        <f>VLOOKUP(B221,'Insumos e Serviços'!$A:$F,4,0)</f>
        <v>LIMPEZA DE REVESTIMENTO CERÂMICO EM PAREDE COM PANO ÚMIDO AF_04/2019</v>
      </c>
      <c r="E221" s="41" t="str">
        <f>VLOOKUP(B221,'Insumos e Serviços'!$A:$F,5,0)</f>
        <v>m²</v>
      </c>
      <c r="F221" s="42">
        <v>1135</v>
      </c>
      <c r="G221" s="42">
        <f>VLOOKUP(B221,'Insumos e Serviços'!$A:$F,6,0)</f>
        <v>0.74</v>
      </c>
      <c r="H221" s="42">
        <f t="shared" si="10"/>
        <v>839.9</v>
      </c>
    </row>
    <row r="222" spans="1:8" s="80" customFormat="1" ht="22.5">
      <c r="A222" s="40" t="s">
        <v>1014</v>
      </c>
      <c r="B222" s="41" t="s">
        <v>392</v>
      </c>
      <c r="C222" s="41" t="str">
        <f>VLOOKUP(B222,'Insumos e Serviços'!$A:$F,2,0)</f>
        <v>SINAPI</v>
      </c>
      <c r="D222" s="189" t="str">
        <f>VLOOKUP(B222,'Insumos e Serviços'!$A:$F,4,0)</f>
        <v>LIMPEZA DE PORTA DE VIDRO COM CAIXILHO EM AÇO/ ALUMÍNIO/ PVC. AF_04/2019</v>
      </c>
      <c r="E222" s="41" t="str">
        <f>VLOOKUP(B222,'Insumos e Serviços'!$A:$F,5,0)</f>
        <v>m²</v>
      </c>
      <c r="F222" s="42">
        <v>34</v>
      </c>
      <c r="G222" s="42">
        <f>VLOOKUP(B222,'Insumos e Serviços'!$A:$F,6,0)</f>
        <v>2.97</v>
      </c>
      <c r="H222" s="42">
        <f t="shared" si="10"/>
        <v>100.98</v>
      </c>
    </row>
    <row r="223" spans="1:8" s="80" customFormat="1" ht="22.5">
      <c r="A223" s="40" t="s">
        <v>1015</v>
      </c>
      <c r="B223" s="41" t="s">
        <v>394</v>
      </c>
      <c r="C223" s="41" t="str">
        <f>VLOOKUP(B223,'Insumos e Serviços'!$A:$F,2,0)</f>
        <v>SINAPI</v>
      </c>
      <c r="D223" s="189" t="str">
        <f>VLOOKUP(B223,'Insumos e Serviços'!$A:$F,4,0)</f>
        <v>LIMPEZA DE BACIA SANITÁRIA, BIDÊ OU MICTÓRIO EM LOUÇA, INCLUSIVE METAIS CORRESPONDENTES. AF_04/2019</v>
      </c>
      <c r="E223" s="41" t="str">
        <f>VLOOKUP(B223,'Insumos e Serviços'!$A:$F,5,0)</f>
        <v>UN</v>
      </c>
      <c r="F223" s="42">
        <v>28</v>
      </c>
      <c r="G223" s="42">
        <f>VLOOKUP(B223,'Insumos e Serviços'!$A:$F,6,0)</f>
        <v>4.47</v>
      </c>
      <c r="H223" s="42">
        <f t="shared" si="10"/>
        <v>125.16</v>
      </c>
    </row>
    <row r="224" spans="1:8" ht="12.75">
      <c r="A224" s="83" t="s">
        <v>136</v>
      </c>
      <c r="B224" s="85"/>
      <c r="C224" s="85"/>
      <c r="D224" s="83" t="s">
        <v>137</v>
      </c>
      <c r="E224" s="85"/>
      <c r="F224" s="86"/>
      <c r="G224" s="83"/>
      <c r="H224" s="87">
        <f>H225</f>
        <v>18963.059999999998</v>
      </c>
    </row>
    <row r="225" spans="1:8" ht="12.75">
      <c r="A225" s="84" t="s">
        <v>1016</v>
      </c>
      <c r="B225" s="88"/>
      <c r="C225" s="88"/>
      <c r="D225" s="84" t="s">
        <v>1017</v>
      </c>
      <c r="E225" s="88"/>
      <c r="F225" s="89"/>
      <c r="G225" s="84"/>
      <c r="H225" s="90">
        <f>SUM(H226:H227)</f>
        <v>18963.059999999998</v>
      </c>
    </row>
    <row r="226" spans="1:8" s="80" customFormat="1" ht="11.25">
      <c r="A226" s="40" t="s">
        <v>1018</v>
      </c>
      <c r="B226" s="41" t="s">
        <v>182</v>
      </c>
      <c r="C226" s="41" t="str">
        <f>VLOOKUP(B226,'Insumos e Serviços'!$A:$F,2,0)</f>
        <v>SINAPI</v>
      </c>
      <c r="D226" s="189" t="str">
        <f>VLOOKUP(B226,'Insumos e Serviços'!$A:$F,4,0)</f>
        <v>ENCARREGADO GERAL DE OBRAS COM ENCARGOS COMPLEMENTARES</v>
      </c>
      <c r="E226" s="41" t="str">
        <f>VLOOKUP(B226,'Insumos e Serviços'!$A:$F,5,0)</f>
        <v>MES</v>
      </c>
      <c r="F226" s="42">
        <v>3</v>
      </c>
      <c r="G226" s="42">
        <f>VLOOKUP(B226,'Insumos e Serviços'!$A:$F,6,0)</f>
        <v>3606.88</v>
      </c>
      <c r="H226" s="42">
        <f>TRUNC(F226*G226,2)</f>
        <v>10820.64</v>
      </c>
    </row>
    <row r="227" spans="1:8" s="80" customFormat="1" ht="11.25">
      <c r="A227" s="40" t="s">
        <v>1019</v>
      </c>
      <c r="B227" s="41" t="s">
        <v>181</v>
      </c>
      <c r="C227" s="41" t="str">
        <f>VLOOKUP(B227,'Insumos e Serviços'!$A:$F,2,0)</f>
        <v>SINAPI</v>
      </c>
      <c r="D227" s="189" t="str">
        <f>VLOOKUP(B227,'Insumos e Serviços'!$A:$F,4,0)</f>
        <v>ENGENHEIRO CIVIL DE OBRA PLENO COM ENCARGOS COMPLEMENTARES</v>
      </c>
      <c r="E227" s="41" t="str">
        <f>VLOOKUP(B227,'Insumos e Serviços'!$A:$F,5,0)</f>
        <v>H</v>
      </c>
      <c r="F227" s="42">
        <v>78</v>
      </c>
      <c r="G227" s="42">
        <f>VLOOKUP(B227,'Insumos e Serviços'!$A:$F,6,0)</f>
        <v>104.39</v>
      </c>
      <c r="H227" s="42">
        <f>TRUNC(F227*G227,2)</f>
        <v>8142.42</v>
      </c>
    </row>
    <row r="228" spans="1:8" ht="12.75">
      <c r="A228" s="43"/>
      <c r="B228" s="43"/>
      <c r="C228" s="43"/>
      <c r="D228" s="43"/>
      <c r="E228" s="43"/>
      <c r="F228" s="43"/>
      <c r="G228" s="43"/>
      <c r="H228" s="43"/>
    </row>
    <row r="229" spans="1:8" s="80" customFormat="1" ht="11.25">
      <c r="A229" s="44" t="s">
        <v>196</v>
      </c>
      <c r="B229" s="45">
        <f>1-B230</f>
        <v>0.5</v>
      </c>
      <c r="C229" s="46"/>
      <c r="D229" s="47" t="s">
        <v>138</v>
      </c>
      <c r="E229" s="47"/>
      <c r="F229" s="48"/>
      <c r="G229" s="198">
        <f>H9+H12+H39+H134+H158+H200+H209+H213+H224</f>
        <v>614086.6400000001</v>
      </c>
      <c r="H229" s="198"/>
    </row>
    <row r="230" spans="1:8" s="80" customFormat="1" ht="11.25" customHeight="1">
      <c r="A230" s="199" t="s">
        <v>197</v>
      </c>
      <c r="B230" s="200">
        <v>0.5</v>
      </c>
      <c r="C230" s="46"/>
      <c r="D230" s="46" t="s">
        <v>139</v>
      </c>
      <c r="E230" s="46" t="str">
        <f>CONCATENATE("(",'Composição de BDI'!$D$23*100,"%)")</f>
        <v>(22,12%)</v>
      </c>
      <c r="F230" s="48"/>
      <c r="G230" s="198">
        <f>TRUNC(G229*'Composição de BDI'!D23,2)</f>
        <v>135835.96</v>
      </c>
      <c r="H230" s="198"/>
    </row>
    <row r="231" spans="1:8" s="80" customFormat="1" ht="11.25">
      <c r="A231" s="199"/>
      <c r="B231" s="200"/>
      <c r="C231" s="46"/>
      <c r="D231" s="47" t="s">
        <v>140</v>
      </c>
      <c r="E231" s="47"/>
      <c r="F231" s="48"/>
      <c r="G231" s="198">
        <f>G229+G230</f>
        <v>749922.6000000001</v>
      </c>
      <c r="H231" s="198"/>
    </row>
  </sheetData>
  <sheetProtection sheet="1" objects="1" scenarios="1"/>
  <mergeCells count="20">
    <mergeCell ref="G1:H1"/>
    <mergeCell ref="A2:B2"/>
    <mergeCell ref="E2:F2"/>
    <mergeCell ref="G2:H2"/>
    <mergeCell ref="A7:H7"/>
    <mergeCell ref="A3:B3"/>
    <mergeCell ref="C3:D3"/>
    <mergeCell ref="A4:B4"/>
    <mergeCell ref="C4:D4"/>
    <mergeCell ref="E4:F4"/>
    <mergeCell ref="G4:H4"/>
    <mergeCell ref="A6:B6"/>
    <mergeCell ref="C6:D6"/>
    <mergeCell ref="E6:F6"/>
    <mergeCell ref="G6:H6"/>
    <mergeCell ref="G229:H229"/>
    <mergeCell ref="A230:A231"/>
    <mergeCell ref="B230:B231"/>
    <mergeCell ref="G230:H230"/>
    <mergeCell ref="G231:H231"/>
  </mergeCells>
  <printOptions horizontalCentered="1"/>
  <pageMargins left="0.590277777777778" right="0.590277777777778" top="0.590277777777778" bottom="0.590277777777778" header="0.511805555555555" footer="0.511805555555555"/>
  <pageSetup fitToHeight="0"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657"/>
  <sheetViews>
    <sheetView showGridLines="0" zoomScalePageLayoutView="0" workbookViewId="0" topLeftCell="A1">
      <selection activeCell="A1" sqref="A1"/>
    </sheetView>
  </sheetViews>
  <sheetFormatPr defaultColWidth="9.140625" defaultRowHeight="12.75"/>
  <cols>
    <col min="1" max="1" width="12.7109375" style="102" customWidth="1"/>
    <col min="2" max="2" width="10.7109375" style="121" customWidth="1"/>
    <col min="3" max="3" width="9.7109375" style="102" customWidth="1"/>
    <col min="4" max="4" width="60.7109375" style="102" customWidth="1"/>
    <col min="5" max="5" width="8.7109375" style="121" customWidth="1"/>
    <col min="6" max="6" width="10.7109375" style="102" customWidth="1"/>
    <col min="7" max="8" width="13.7109375" style="102" customWidth="1"/>
    <col min="9" max="16384" width="9.140625" style="103" customWidth="1"/>
  </cols>
  <sheetData>
    <row r="1" spans="1:8" s="101" customFormat="1" ht="22.5">
      <c r="A1" s="127" t="str">
        <f>'Orçamento Sintético'!A1</f>
        <v>P. Execução:</v>
      </c>
      <c r="B1" s="128"/>
      <c r="C1" s="129" t="str">
        <f>'Orçamento Sintético'!C1</f>
        <v>Licitação:</v>
      </c>
      <c r="D1" s="130" t="str">
        <f>'Orçamento Sintético'!D1</f>
        <v>Objeto: Remanescente da reforma acessibilidade do edifício das Promotorias de Justiça da Infância</v>
      </c>
      <c r="E1" s="99" t="str">
        <f>'Orçamento Sintético'!E1</f>
        <v>Data:</v>
      </c>
      <c r="F1" s="100"/>
      <c r="G1" s="205"/>
      <c r="H1" s="205"/>
    </row>
    <row r="2" spans="1:8" s="101" customFormat="1" ht="12.75">
      <c r="A2" s="191" t="str">
        <f>'Orçamento Sintético'!A2</f>
        <v>A</v>
      </c>
      <c r="B2" s="191"/>
      <c r="C2" s="131" t="str">
        <f>'Orçamento Sintético'!C2</f>
        <v>B</v>
      </c>
      <c r="D2" s="132" t="str">
        <f>'Orçamento Sintético'!D2</f>
        <v>Local: SEPN 711/911, - Asa Norte Bloco B - Brasília – DF</v>
      </c>
      <c r="E2" s="192">
        <f>'Orçamento Sintético'!E2:F2</f>
        <v>1</v>
      </c>
      <c r="F2" s="192"/>
      <c r="G2" s="190"/>
      <c r="H2" s="190"/>
    </row>
    <row r="3" spans="1:8" s="101" customFormat="1" ht="12.75">
      <c r="A3" s="127" t="str">
        <f>'Orçamento Sintético'!A3</f>
        <v>P. Validade:</v>
      </c>
      <c r="B3" s="128"/>
      <c r="C3" s="133" t="str">
        <f>'Orçamento Sintético'!C3:D3</f>
        <v>Razão Social:</v>
      </c>
      <c r="D3" s="134"/>
      <c r="E3" s="127" t="str">
        <f>'Orçamento Sintético'!E3</f>
        <v>Telefone:</v>
      </c>
      <c r="F3" s="134"/>
      <c r="G3" s="97"/>
      <c r="H3" s="98"/>
    </row>
    <row r="4" spans="1:8" s="101" customFormat="1" ht="12.75">
      <c r="A4" s="191" t="str">
        <f>'Orçamento Sintético'!A4</f>
        <v>C</v>
      </c>
      <c r="B4" s="191"/>
      <c r="C4" s="191" t="str">
        <f>'Orçamento Sintético'!C4:D4</f>
        <v>D</v>
      </c>
      <c r="D4" s="191"/>
      <c r="E4" s="191" t="str">
        <f>'Orçamento Sintético'!E4:F4</f>
        <v>E</v>
      </c>
      <c r="F4" s="191"/>
      <c r="G4" s="190"/>
      <c r="H4" s="190"/>
    </row>
    <row r="5" spans="1:8" s="101" customFormat="1" ht="12.75">
      <c r="A5" s="127" t="str">
        <f>'Orçamento Sintético'!A5</f>
        <v>P. Garantia:</v>
      </c>
      <c r="B5" s="134"/>
      <c r="C5" s="127" t="str">
        <f>'Orçamento Sintético'!C5</f>
        <v>CNPJ:</v>
      </c>
      <c r="D5" s="134"/>
      <c r="E5" s="127" t="str">
        <f>'Orçamento Sintético'!E5</f>
        <v>E-mail:</v>
      </c>
      <c r="F5" s="134"/>
      <c r="G5" s="97"/>
      <c r="H5" s="98"/>
    </row>
    <row r="6" spans="1:8" s="101" customFormat="1" ht="12.75">
      <c r="A6" s="191" t="str">
        <f>'Orçamento Sintético'!A6</f>
        <v>F</v>
      </c>
      <c r="B6" s="191"/>
      <c r="C6" s="191" t="str">
        <f>'Orçamento Sintético'!C6:D6</f>
        <v>G</v>
      </c>
      <c r="D6" s="191"/>
      <c r="E6" s="191" t="str">
        <f>'Orçamento Sintético'!E6:F6</f>
        <v>H</v>
      </c>
      <c r="F6" s="191"/>
      <c r="G6" s="201"/>
      <c r="H6" s="201"/>
    </row>
    <row r="7" spans="1:8" ht="15" customHeight="1">
      <c r="A7" s="207" t="s">
        <v>198</v>
      </c>
      <c r="B7" s="207"/>
      <c r="C7" s="207"/>
      <c r="D7" s="207"/>
      <c r="E7" s="207"/>
      <c r="F7" s="207"/>
      <c r="G7" s="207"/>
      <c r="H7" s="207"/>
    </row>
    <row r="8" spans="1:8" ht="12.75">
      <c r="A8" s="104" t="s">
        <v>116</v>
      </c>
      <c r="B8" s="104" t="s">
        <v>154</v>
      </c>
      <c r="C8" s="104" t="s">
        <v>155</v>
      </c>
      <c r="D8" s="104" t="s">
        <v>117</v>
      </c>
      <c r="E8" s="104" t="s">
        <v>156</v>
      </c>
      <c r="F8" s="104" t="s">
        <v>157</v>
      </c>
      <c r="G8" s="104" t="s">
        <v>158</v>
      </c>
      <c r="H8" s="104" t="s">
        <v>119</v>
      </c>
    </row>
    <row r="9" spans="1:8" ht="12.75">
      <c r="A9" s="105" t="s">
        <v>120</v>
      </c>
      <c r="B9" s="106"/>
      <c r="C9" s="106"/>
      <c r="D9" s="105" t="str">
        <f>VLOOKUP(A9,'Orçamento Sintético'!$A:$H,4,0)</f>
        <v>SERVIÇOS TÉCNICOS-PROFISSIONAIS</v>
      </c>
      <c r="E9" s="106"/>
      <c r="F9" s="122"/>
      <c r="G9" s="105"/>
      <c r="H9" s="107"/>
    </row>
    <row r="10" spans="1:8" ht="12.75">
      <c r="A10" s="108" t="s">
        <v>633</v>
      </c>
      <c r="B10" s="109"/>
      <c r="C10" s="109"/>
      <c r="D10" s="108" t="str">
        <f>VLOOKUP(A10,'Orçamento Sintético'!$A:$H,4,0)</f>
        <v>TAXAS E EMOLUMENTOS</v>
      </c>
      <c r="E10" s="109"/>
      <c r="F10" s="123"/>
      <c r="G10" s="108"/>
      <c r="H10" s="110"/>
    </row>
    <row r="11" spans="1:8" ht="12.75">
      <c r="A11" s="111" t="s">
        <v>634</v>
      </c>
      <c r="B11" s="112" t="str">
        <f>VLOOKUP(A11,'Orçamento Sintético'!$A:$H,2,0)</f>
        <v> MPDFT0009 </v>
      </c>
      <c r="C11" s="112" t="str">
        <f>VLOOKUP(A11,'Orçamento Sintético'!$A:$H,3,0)</f>
        <v>Próprio</v>
      </c>
      <c r="D11" s="113" t="str">
        <f>VLOOKUP(A11,'Orçamento Sintético'!$A:$H,4,0)</f>
        <v>Registro do contrato junto ao conselho de classe (ART)</v>
      </c>
      <c r="E11" s="112" t="str">
        <f>VLOOKUP(A11,'Orçamento Sintético'!$A:$H,5,0)</f>
        <v>vb</v>
      </c>
      <c r="F11" s="124"/>
      <c r="G11" s="114"/>
      <c r="H11" s="114">
        <f>SUM(H12)</f>
        <v>233.94</v>
      </c>
    </row>
    <row r="12" spans="1:8" ht="13.5" thickBot="1">
      <c r="A12" s="115" t="str">
        <f>VLOOKUP(B12,'Insumos e Serviços'!$A:$F,3,0)</f>
        <v>Insumo</v>
      </c>
      <c r="B12" s="116" t="s">
        <v>199</v>
      </c>
      <c r="C12" s="116" t="str">
        <f>VLOOKUP(B12,'Insumos e Serviços'!$A:$F,2,0)</f>
        <v>Próprio</v>
      </c>
      <c r="D12" s="117" t="str">
        <f>VLOOKUP(B12,'Insumos e Serviços'!$A:$F,4,0)</f>
        <v>Anotação de Resposanbilidade Técnica (Faixa 3 - Tabela A - CONFEA)</v>
      </c>
      <c r="E12" s="116" t="str">
        <f>VLOOKUP(B12,'Insumos e Serviços'!$A:$F,5,0)</f>
        <v>vb</v>
      </c>
      <c r="F12" s="125">
        <v>1</v>
      </c>
      <c r="G12" s="118">
        <f>VLOOKUP(B12,'Insumos e Serviços'!$A:$F,6,0)</f>
        <v>233.94</v>
      </c>
      <c r="H12" s="118">
        <f>TRUNC(F12*G12,2)</f>
        <v>233.94</v>
      </c>
    </row>
    <row r="13" spans="1:8" ht="13.5" thickTop="1">
      <c r="A13" s="119"/>
      <c r="B13" s="119"/>
      <c r="C13" s="119"/>
      <c r="D13" s="119"/>
      <c r="E13" s="119"/>
      <c r="F13" s="126"/>
      <c r="G13" s="119"/>
      <c r="H13" s="119"/>
    </row>
    <row r="14" spans="1:8" ht="12.75">
      <c r="A14" s="105" t="s">
        <v>122</v>
      </c>
      <c r="B14" s="106"/>
      <c r="C14" s="106"/>
      <c r="D14" s="105" t="str">
        <f>VLOOKUP(A14,'Orçamento Sintético'!$A:$H,4,0)</f>
        <v>SERVIÇOS PRELIMINARES</v>
      </c>
      <c r="E14" s="106"/>
      <c r="F14" s="122"/>
      <c r="G14" s="105"/>
      <c r="H14" s="107"/>
    </row>
    <row r="15" spans="1:8" ht="12.75">
      <c r="A15" s="108" t="s">
        <v>637</v>
      </c>
      <c r="B15" s="109"/>
      <c r="C15" s="109"/>
      <c r="D15" s="108" t="str">
        <f>VLOOKUP(A15,'Orçamento Sintético'!$A:$H,4,0)</f>
        <v>CANTEIRO DE OBRAS</v>
      </c>
      <c r="E15" s="109"/>
      <c r="F15" s="123"/>
      <c r="G15" s="108"/>
      <c r="H15" s="110"/>
    </row>
    <row r="16" spans="1:8" ht="12.75">
      <c r="A16" s="108" t="s">
        <v>639</v>
      </c>
      <c r="B16" s="109"/>
      <c r="C16" s="109"/>
      <c r="D16" s="108" t="str">
        <f>VLOOKUP(A16,'Orçamento Sintético'!$A:$H,4,0)</f>
        <v>Proteção e Sinalização</v>
      </c>
      <c r="E16" s="109"/>
      <c r="F16" s="123"/>
      <c r="G16" s="108"/>
      <c r="H16" s="110"/>
    </row>
    <row r="17" spans="1:8" ht="22.5">
      <c r="A17" s="111" t="s">
        <v>642</v>
      </c>
      <c r="B17" s="112" t="str">
        <f>VLOOKUP(A17,'Orçamento Sintético'!$A:$H,2,0)</f>
        <v> MPDFT0714 </v>
      </c>
      <c r="C17" s="112" t="str">
        <f>VLOOKUP(A17,'Orçamento Sintético'!$A:$H,3,0)</f>
        <v>Próprio</v>
      </c>
      <c r="D17" s="113" t="str">
        <f>VLOOKUP(A17,'Orçamento Sintético'!$A:$H,4,0)</f>
        <v>Copia da ORSE (3642) - Lona plástica preta para camada separadora de lastros ou proteção</v>
      </c>
      <c r="E17" s="112" t="str">
        <f>VLOOKUP(A17,'Orçamento Sintético'!$A:$H,5,0)</f>
        <v>m²</v>
      </c>
      <c r="F17" s="124"/>
      <c r="G17" s="114"/>
      <c r="H17" s="114">
        <f>SUM(H18:H19)</f>
        <v>5.63</v>
      </c>
    </row>
    <row r="18" spans="1:8" ht="12.75">
      <c r="A18" s="115" t="str">
        <f>VLOOKUP(B18,'Insumos e Serviços'!$A:$F,3,0)</f>
        <v>Composição</v>
      </c>
      <c r="B18" s="116" t="s">
        <v>200</v>
      </c>
      <c r="C18" s="116" t="str">
        <f>VLOOKUP(B18,'Insumos e Serviços'!$A:$F,2,0)</f>
        <v>SINAPI</v>
      </c>
      <c r="D18" s="117" t="str">
        <f>VLOOKUP(B18,'Insumos e Serviços'!$A:$F,4,0)</f>
        <v>SERVENTE COM ENCARGOS COMPLEMENTARES</v>
      </c>
      <c r="E18" s="116" t="str">
        <f>VLOOKUP(B18,'Insumos e Serviços'!$A:$F,5,0)</f>
        <v>H</v>
      </c>
      <c r="F18" s="125">
        <v>0.2</v>
      </c>
      <c r="G18" s="118">
        <f>VLOOKUP(B18,'Insumos e Serviços'!$A:$F,6,0)</f>
        <v>18.65</v>
      </c>
      <c r="H18" s="118">
        <f>TRUNC(F18*G18,2)</f>
        <v>3.73</v>
      </c>
    </row>
    <row r="19" spans="1:8" ht="13.5" thickBot="1">
      <c r="A19" s="115" t="str">
        <f>VLOOKUP(B19,'Insumos e Serviços'!$A:$F,3,0)</f>
        <v>Insumo</v>
      </c>
      <c r="B19" s="116" t="s">
        <v>201</v>
      </c>
      <c r="C19" s="116" t="str">
        <f>VLOOKUP(B19,'Insumos e Serviços'!$A:$F,2,0)</f>
        <v>SINAPI</v>
      </c>
      <c r="D19" s="117" t="str">
        <f>VLOOKUP(B19,'Insumos e Serviços'!$A:$F,4,0)</f>
        <v>LONA PLASTICA PRETA, E= 150 MICRA</v>
      </c>
      <c r="E19" s="116" t="str">
        <f>VLOOKUP(B19,'Insumos e Serviços'!$A:$F,5,0)</f>
        <v>m²</v>
      </c>
      <c r="F19" s="125">
        <v>1.1</v>
      </c>
      <c r="G19" s="118">
        <f>VLOOKUP(B19,'Insumos e Serviços'!$A:$F,6,0)</f>
        <v>1.73</v>
      </c>
      <c r="H19" s="118">
        <f>TRUNC(F19*G19,2)</f>
        <v>1.9</v>
      </c>
    </row>
    <row r="20" spans="1:8" ht="13.5" thickTop="1">
      <c r="A20" s="119"/>
      <c r="B20" s="119"/>
      <c r="C20" s="119"/>
      <c r="D20" s="119"/>
      <c r="E20" s="119"/>
      <c r="F20" s="126"/>
      <c r="G20" s="119"/>
      <c r="H20" s="119"/>
    </row>
    <row r="21" spans="1:8" ht="22.5">
      <c r="A21" s="111" t="s">
        <v>1225</v>
      </c>
      <c r="B21" s="112" t="str">
        <f>VLOOKUP(A21,'Orçamento Sintético'!$A:$H,2,0)</f>
        <v> MPDFT0622 </v>
      </c>
      <c r="C21" s="112" t="str">
        <f>VLOOKUP(A21,'Orçamento Sintético'!$A:$H,3,0)</f>
        <v>Próprio</v>
      </c>
      <c r="D21" s="113" t="str">
        <f>VLOOKUP(A21,'Orçamento Sintético'!$A:$H,4,0)</f>
        <v>Copia da SBC (210002) - TRANSPORTE, MONTAGEM, DESMONTAGEM E REMOÇÃO DE CONTEINERS EM OBRAS</v>
      </c>
      <c r="E21" s="112" t="str">
        <f>VLOOKUP(A21,'Orçamento Sintético'!$A:$H,5,0)</f>
        <v>UN</v>
      </c>
      <c r="F21" s="124"/>
      <c r="G21" s="114"/>
      <c r="H21" s="114">
        <f>SUM(H22:H23)</f>
        <v>1155.53</v>
      </c>
    </row>
    <row r="22" spans="1:8" ht="12.75">
      <c r="A22" s="115" t="str">
        <f>VLOOKUP(B22,'Insumos e Serviços'!$A:$F,3,0)</f>
        <v>Composição</v>
      </c>
      <c r="B22" s="116" t="s">
        <v>200</v>
      </c>
      <c r="C22" s="116" t="str">
        <f>VLOOKUP(B22,'Insumos e Serviços'!$A:$F,2,0)</f>
        <v>SINAPI</v>
      </c>
      <c r="D22" s="117" t="str">
        <f>VLOOKUP(B22,'Insumos e Serviços'!$A:$F,4,0)</f>
        <v>SERVENTE COM ENCARGOS COMPLEMENTARES</v>
      </c>
      <c r="E22" s="116" t="str">
        <f>VLOOKUP(B22,'Insumos e Serviços'!$A:$F,5,0)</f>
        <v>H</v>
      </c>
      <c r="F22" s="125">
        <v>16.496</v>
      </c>
      <c r="G22" s="118">
        <f>VLOOKUP(B22,'Insumos e Serviços'!$A:$F,6,0)</f>
        <v>18.65</v>
      </c>
      <c r="H22" s="118">
        <f>TRUNC(F22*G22,2)</f>
        <v>307.65</v>
      </c>
    </row>
    <row r="23" spans="1:8" ht="34.5" thickBot="1">
      <c r="A23" s="115" t="str">
        <f>VLOOKUP(B23,'Insumos e Serviços'!$A:$F,3,0)</f>
        <v>Composição</v>
      </c>
      <c r="B23" s="116" t="s">
        <v>1024</v>
      </c>
      <c r="C23" s="116" t="str">
        <f>VLOOKUP(B23,'Insumos e Serviços'!$A:$F,2,0)</f>
        <v>SINAPI</v>
      </c>
      <c r="D23" s="117" t="str">
        <f>VLOOKUP(B23,'Insumos e Serviços'!$A:$F,4,0)</f>
        <v>GUINDAUTO HIDRÁULICO, CAPACIDADE MÁXIMA DE CARGA 6500 KG, MOMENTO MÁXIMO DE CARGA 5,8 TM, ALCANCE MÁXIMO HORIZONTAL 7,60 M, INCLUSIVE CAMINHÃO TOCO PBT 9.700 KG, POTÊNCIA DE 160 CV - CHP DIURNO. AF_08/2015</v>
      </c>
      <c r="E23" s="116" t="str">
        <f>VLOOKUP(B23,'Insumos e Serviços'!$A:$F,5,0)</f>
        <v>CHP</v>
      </c>
      <c r="F23" s="125">
        <v>4</v>
      </c>
      <c r="G23" s="118">
        <f>VLOOKUP(B23,'Insumos e Serviços'!$A:$F,6,0)</f>
        <v>211.97</v>
      </c>
      <c r="H23" s="118">
        <f>TRUNC(F23*G23,2)</f>
        <v>847.88</v>
      </c>
    </row>
    <row r="24" spans="1:8" ht="13.5" thickTop="1">
      <c r="A24" s="119"/>
      <c r="B24" s="119"/>
      <c r="C24" s="119"/>
      <c r="D24" s="119"/>
      <c r="E24" s="119"/>
      <c r="F24" s="126"/>
      <c r="G24" s="119"/>
      <c r="H24" s="119"/>
    </row>
    <row r="25" spans="1:8" ht="12.75">
      <c r="A25" s="108" t="s">
        <v>646</v>
      </c>
      <c r="B25" s="109"/>
      <c r="C25" s="109"/>
      <c r="D25" s="108" t="str">
        <f>VLOOKUP(A25,'Orçamento Sintético'!$A:$H,4,0)</f>
        <v>DEMOLIÇÃO</v>
      </c>
      <c r="E25" s="109"/>
      <c r="F25" s="123"/>
      <c r="G25" s="108"/>
      <c r="H25" s="110"/>
    </row>
    <row r="26" spans="1:8" ht="12.75">
      <c r="A26" s="108" t="s">
        <v>648</v>
      </c>
      <c r="B26" s="109"/>
      <c r="C26" s="109"/>
      <c r="D26" s="108" t="str">
        <f>VLOOKUP(A26,'Orçamento Sintético'!$A:$H,4,0)</f>
        <v>Demolição Convencional</v>
      </c>
      <c r="E26" s="109"/>
      <c r="F26" s="123"/>
      <c r="G26" s="108"/>
      <c r="H26" s="110"/>
    </row>
    <row r="27" spans="1:8" ht="22.5">
      <c r="A27" s="111" t="s">
        <v>652</v>
      </c>
      <c r="B27" s="112" t="str">
        <f>VLOOKUP(A27,'Orçamento Sintético'!$A:$H,2,0)</f>
        <v> MPDFT0747 </v>
      </c>
      <c r="C27" s="112" t="str">
        <f>VLOOKUP(A27,'Orçamento Sintético'!$A:$H,3,0)</f>
        <v>Próprio</v>
      </c>
      <c r="D27" s="113" t="str">
        <f>VLOOKUP(A27,'Orçamento Sintético'!$A:$H,4,0)</f>
        <v>Copia da SIURB (175023) - DEMOLIÇÃO MECANIZADA DE CONCRETO ARMADO</v>
      </c>
      <c r="E27" s="112" t="str">
        <f>VLOOKUP(A27,'Orçamento Sintético'!$A:$H,5,0)</f>
        <v>m³</v>
      </c>
      <c r="F27" s="124"/>
      <c r="G27" s="114"/>
      <c r="H27" s="114">
        <f>SUM(H28:H32)</f>
        <v>329.69</v>
      </c>
    </row>
    <row r="28" spans="1:8" ht="12.75">
      <c r="A28" s="115" t="str">
        <f>VLOOKUP(B28,'Insumos e Serviços'!$A:$F,3,0)</f>
        <v>Composição</v>
      </c>
      <c r="B28" s="116" t="s">
        <v>200</v>
      </c>
      <c r="C28" s="116" t="str">
        <f>VLOOKUP(B28,'Insumos e Serviços'!$A:$F,2,0)</f>
        <v>SINAPI</v>
      </c>
      <c r="D28" s="117" t="str">
        <f>VLOOKUP(B28,'Insumos e Serviços'!$A:$F,4,0)</f>
        <v>SERVENTE COM ENCARGOS COMPLEMENTARES</v>
      </c>
      <c r="E28" s="116" t="str">
        <f>VLOOKUP(B28,'Insumos e Serviços'!$A:$F,5,0)</f>
        <v>H</v>
      </c>
      <c r="F28" s="125">
        <v>4</v>
      </c>
      <c r="G28" s="118">
        <f>VLOOKUP(B28,'Insumos e Serviços'!$A:$F,6,0)</f>
        <v>18.65</v>
      </c>
      <c r="H28" s="118">
        <f>TRUNC(F28*G28,2)</f>
        <v>74.6</v>
      </c>
    </row>
    <row r="29" spans="1:8" ht="22.5">
      <c r="A29" s="115" t="str">
        <f>VLOOKUP(B29,'Insumos e Serviços'!$A:$F,3,0)</f>
        <v>Composição</v>
      </c>
      <c r="B29" s="116" t="s">
        <v>206</v>
      </c>
      <c r="C29" s="116" t="str">
        <f>VLOOKUP(B29,'Insumos e Serviços'!$A:$F,2,0)</f>
        <v>SINAPI</v>
      </c>
      <c r="D29" s="117" t="str">
        <f>VLOOKUP(B29,'Insumos e Serviços'!$A:$F,4,0)</f>
        <v>MARTELETE OU ROMPEDOR PNEUMÁTICO MANUAL, 28 KG, COM SILENCIADOR - CHI DIURNO. AF_07/2016</v>
      </c>
      <c r="E29" s="116" t="str">
        <f>VLOOKUP(B29,'Insumos e Serviços'!$A:$F,5,0)</f>
        <v>CHI</v>
      </c>
      <c r="F29" s="125">
        <v>0.4</v>
      </c>
      <c r="G29" s="118">
        <f>VLOOKUP(B29,'Insumos e Serviços'!$A:$F,6,0)</f>
        <v>21.03</v>
      </c>
      <c r="H29" s="118">
        <f>TRUNC(F29*G29,2)</f>
        <v>8.41</v>
      </c>
    </row>
    <row r="30" spans="1:8" ht="22.5">
      <c r="A30" s="115" t="str">
        <f>VLOOKUP(B30,'Insumos e Serviços'!$A:$F,3,0)</f>
        <v>Composição</v>
      </c>
      <c r="B30" s="116" t="s">
        <v>207</v>
      </c>
      <c r="C30" s="116" t="str">
        <f>VLOOKUP(B30,'Insumos e Serviços'!$A:$F,2,0)</f>
        <v>SINAPI</v>
      </c>
      <c r="D30" s="117" t="str">
        <f>VLOOKUP(B30,'Insumos e Serviços'!$A:$F,4,0)</f>
        <v>MARTELETE OU ROMPEDOR PNEUMÁTICO MANUAL, 28 KG, COM SILENCIADOR - CHP DIURNO. AF_07/2016</v>
      </c>
      <c r="E30" s="116" t="str">
        <f>VLOOKUP(B30,'Insumos e Serviços'!$A:$F,5,0)</f>
        <v>CHP</v>
      </c>
      <c r="F30" s="125">
        <v>4</v>
      </c>
      <c r="G30" s="118">
        <f>VLOOKUP(B30,'Insumos e Serviços'!$A:$F,6,0)</f>
        <v>22.3</v>
      </c>
      <c r="H30" s="118">
        <f>TRUNC(F30*G30,2)</f>
        <v>89.2</v>
      </c>
    </row>
    <row r="31" spans="1:8" ht="22.5">
      <c r="A31" s="115" t="str">
        <f>VLOOKUP(B31,'Insumos e Serviços'!$A:$F,3,0)</f>
        <v>Composição</v>
      </c>
      <c r="B31" s="116" t="s">
        <v>208</v>
      </c>
      <c r="C31" s="116" t="str">
        <f>VLOOKUP(B31,'Insumos e Serviços'!$A:$F,2,0)</f>
        <v>SINAPI</v>
      </c>
      <c r="D31" s="117" t="str">
        <f>VLOOKUP(B31,'Insumos e Serviços'!$A:$F,4,0)</f>
        <v>COMPRESSOR DE AR REBOCAVEL, VAZÃO 250 PCM, PRESSAO DE TRABALHO 102 PSI, MOTOR A DIESEL POTÊNCIA 81 CV - CHI DIURNO. AF_06/2015</v>
      </c>
      <c r="E31" s="116" t="str">
        <f>VLOOKUP(B31,'Insumos e Serviços'!$A:$F,5,0)</f>
        <v>CHI</v>
      </c>
      <c r="F31" s="125">
        <v>0.2</v>
      </c>
      <c r="G31" s="118">
        <f>VLOOKUP(B31,'Insumos e Serviços'!$A:$F,6,0)</f>
        <v>6.51</v>
      </c>
      <c r="H31" s="118">
        <f>TRUNC(F31*G31,2)</f>
        <v>1.3</v>
      </c>
    </row>
    <row r="32" spans="1:8" ht="23.25" thickBot="1">
      <c r="A32" s="115" t="str">
        <f>VLOOKUP(B32,'Insumos e Serviços'!$A:$F,3,0)</f>
        <v>Composição</v>
      </c>
      <c r="B32" s="116" t="s">
        <v>209</v>
      </c>
      <c r="C32" s="116" t="str">
        <f>VLOOKUP(B32,'Insumos e Serviços'!$A:$F,2,0)</f>
        <v>SINAPI</v>
      </c>
      <c r="D32" s="117" t="str">
        <f>VLOOKUP(B32,'Insumos e Serviços'!$A:$F,4,0)</f>
        <v>COMPRESSOR DE AR REBOCAVEL, VAZÃO 250 PCM, PRESSAO DE TRABALHO 102 PSI, MOTOR A DIESEL POTÊNCIA 81 CV - CHP DIURNO. AF_06/2015</v>
      </c>
      <c r="E32" s="116" t="str">
        <f>VLOOKUP(B32,'Insumos e Serviços'!$A:$F,5,0)</f>
        <v>CHP</v>
      </c>
      <c r="F32" s="125">
        <v>2</v>
      </c>
      <c r="G32" s="118">
        <f>VLOOKUP(B32,'Insumos e Serviços'!$A:$F,6,0)</f>
        <v>78.09</v>
      </c>
      <c r="H32" s="118">
        <f>TRUNC(F32*G32,2)</f>
        <v>156.18</v>
      </c>
    </row>
    <row r="33" spans="1:8" ht="13.5" thickTop="1">
      <c r="A33" s="119"/>
      <c r="B33" s="119"/>
      <c r="C33" s="119"/>
      <c r="D33" s="119"/>
      <c r="E33" s="119"/>
      <c r="F33" s="126"/>
      <c r="G33" s="119"/>
      <c r="H33" s="119"/>
    </row>
    <row r="34" spans="1:8" ht="12.75">
      <c r="A34" s="108" t="s">
        <v>655</v>
      </c>
      <c r="B34" s="109"/>
      <c r="C34" s="109"/>
      <c r="D34" s="108" t="str">
        <f>VLOOKUP(A34,'Orçamento Sintético'!$A:$H,4,0)</f>
        <v>Remoções</v>
      </c>
      <c r="E34" s="109"/>
      <c r="F34" s="123"/>
      <c r="G34" s="108"/>
      <c r="H34" s="110"/>
    </row>
    <row r="35" spans="1:8" ht="22.5">
      <c r="A35" s="111" t="s">
        <v>657</v>
      </c>
      <c r="B35" s="112" t="str">
        <f>VLOOKUP(A35,'Orçamento Sintético'!$A:$H,2,0)</f>
        <v> MPDFT0784 </v>
      </c>
      <c r="C35" s="112" t="str">
        <f>VLOOKUP(A35,'Orçamento Sintético'!$A:$H,3,0)</f>
        <v>Próprio</v>
      </c>
      <c r="D35" s="113" t="str">
        <f>VLOOKUP(A35,'Orçamento Sintético'!$A:$H,4,0)</f>
        <v>Copia da SINAPI (100717) - Retirada de laminado melamínico e lixamento manual de superfície</v>
      </c>
      <c r="E35" s="112" t="str">
        <f>VLOOKUP(A35,'Orçamento Sintético'!$A:$H,5,0)</f>
        <v>m²</v>
      </c>
      <c r="F35" s="124"/>
      <c r="G35" s="114"/>
      <c r="H35" s="114">
        <f>SUM(H36:H37)</f>
        <v>8.95</v>
      </c>
    </row>
    <row r="36" spans="1:8" ht="12.75">
      <c r="A36" s="115" t="str">
        <f>VLOOKUP(B36,'Insumos e Serviços'!$A:$F,3,0)</f>
        <v>Composição</v>
      </c>
      <c r="B36" s="116" t="s">
        <v>227</v>
      </c>
      <c r="C36" s="116" t="str">
        <f>VLOOKUP(B36,'Insumos e Serviços'!$A:$F,2,0)</f>
        <v>SINAPI</v>
      </c>
      <c r="D36" s="117" t="str">
        <f>VLOOKUP(B36,'Insumos e Serviços'!$A:$F,4,0)</f>
        <v>PINTOR COM ENCARGOS COMPLEMENTARES</v>
      </c>
      <c r="E36" s="116" t="str">
        <f>VLOOKUP(B36,'Insumos e Serviços'!$A:$F,5,0)</f>
        <v>H</v>
      </c>
      <c r="F36" s="125">
        <v>0.2986</v>
      </c>
      <c r="G36" s="118">
        <f>VLOOKUP(B36,'Insumos e Serviços'!$A:$F,6,0)</f>
        <v>26.15</v>
      </c>
      <c r="H36" s="118">
        <f>TRUNC(F36*G36,2)</f>
        <v>7.8</v>
      </c>
    </row>
    <row r="37" spans="1:8" ht="13.5" thickBot="1">
      <c r="A37" s="115" t="str">
        <f>VLOOKUP(B37,'Insumos e Serviços'!$A:$F,3,0)</f>
        <v>Insumo</v>
      </c>
      <c r="B37" s="116" t="s">
        <v>1037</v>
      </c>
      <c r="C37" s="116" t="str">
        <f>VLOOKUP(B37,'Insumos e Serviços'!$A:$F,2,0)</f>
        <v>SINAPI</v>
      </c>
      <c r="D37" s="117" t="str">
        <f>VLOOKUP(B37,'Insumos e Serviços'!$A:$F,4,0)</f>
        <v>LIXA EM FOLHA PARA FERRO, NUMERO 150</v>
      </c>
      <c r="E37" s="116" t="str">
        <f>VLOOKUP(B37,'Insumos e Serviços'!$A:$F,5,0)</f>
        <v>UN</v>
      </c>
      <c r="F37" s="125">
        <v>0.3</v>
      </c>
      <c r="G37" s="118">
        <f>VLOOKUP(B37,'Insumos e Serviços'!$A:$F,6,0)</f>
        <v>3.85</v>
      </c>
      <c r="H37" s="118">
        <f>TRUNC(F37*G37,2)</f>
        <v>1.15</v>
      </c>
    </row>
    <row r="38" spans="1:8" ht="13.5" thickTop="1">
      <c r="A38" s="119"/>
      <c r="B38" s="119"/>
      <c r="C38" s="119"/>
      <c r="D38" s="119"/>
      <c r="E38" s="119"/>
      <c r="F38" s="126"/>
      <c r="G38" s="119"/>
      <c r="H38" s="119"/>
    </row>
    <row r="39" spans="1:8" ht="12.75">
      <c r="A39" s="111" t="s">
        <v>660</v>
      </c>
      <c r="B39" s="112" t="str">
        <f>VLOOKUP(A39,'Orçamento Sintético'!$A:$H,2,0)</f>
        <v> MPDFT0636 </v>
      </c>
      <c r="C39" s="112" t="str">
        <f>VLOOKUP(A39,'Orçamento Sintético'!$A:$H,3,0)</f>
        <v>Próprio</v>
      </c>
      <c r="D39" s="113" t="str">
        <f>VLOOKUP(A39,'Orçamento Sintético'!$A:$H,4,0)</f>
        <v>Copia da SINAPI (85412) - REMOCAO DE RODAPE DE MARMORE OU GRANITO</v>
      </c>
      <c r="E39" s="112" t="str">
        <f>VLOOKUP(A39,'Orçamento Sintético'!$A:$H,5,0)</f>
        <v>M</v>
      </c>
      <c r="F39" s="124"/>
      <c r="G39" s="114"/>
      <c r="H39" s="114">
        <f>SUM(H40:H41)</f>
        <v>5.7</v>
      </c>
    </row>
    <row r="40" spans="1:8" ht="12.75">
      <c r="A40" s="115" t="str">
        <f>VLOOKUP(B40,'Insumos e Serviços'!$A:$F,3,0)</f>
        <v>Composição</v>
      </c>
      <c r="B40" s="116" t="s">
        <v>210</v>
      </c>
      <c r="C40" s="116" t="str">
        <f>VLOOKUP(B40,'Insumos e Serviços'!$A:$F,2,0)</f>
        <v>SINAPI</v>
      </c>
      <c r="D40" s="117" t="str">
        <f>VLOOKUP(B40,'Insumos e Serviços'!$A:$F,4,0)</f>
        <v>PEDREIRO COM ENCARGOS COMPLEMENTARES</v>
      </c>
      <c r="E40" s="116" t="str">
        <f>VLOOKUP(B40,'Insumos e Serviços'!$A:$F,5,0)</f>
        <v>H</v>
      </c>
      <c r="F40" s="125">
        <v>0.027</v>
      </c>
      <c r="G40" s="118">
        <f>VLOOKUP(B40,'Insumos e Serviços'!$A:$F,6,0)</f>
        <v>25.09</v>
      </c>
      <c r="H40" s="118">
        <f>TRUNC(F40*G40,2)</f>
        <v>0.67</v>
      </c>
    </row>
    <row r="41" spans="1:8" ht="13.5" thickBot="1">
      <c r="A41" s="115" t="str">
        <f>VLOOKUP(B41,'Insumos e Serviços'!$A:$F,3,0)</f>
        <v>Composição</v>
      </c>
      <c r="B41" s="116" t="s">
        <v>200</v>
      </c>
      <c r="C41" s="116" t="str">
        <f>VLOOKUP(B41,'Insumos e Serviços'!$A:$F,2,0)</f>
        <v>SINAPI</v>
      </c>
      <c r="D41" s="117" t="str">
        <f>VLOOKUP(B41,'Insumos e Serviços'!$A:$F,4,0)</f>
        <v>SERVENTE COM ENCARGOS COMPLEMENTARES</v>
      </c>
      <c r="E41" s="116" t="str">
        <f>VLOOKUP(B41,'Insumos e Serviços'!$A:$F,5,0)</f>
        <v>H</v>
      </c>
      <c r="F41" s="125">
        <v>0.27</v>
      </c>
      <c r="G41" s="118">
        <f>VLOOKUP(B41,'Insumos e Serviços'!$A:$F,6,0)</f>
        <v>18.65</v>
      </c>
      <c r="H41" s="118">
        <f>TRUNC(F41*G41,2)</f>
        <v>5.03</v>
      </c>
    </row>
    <row r="42" spans="1:8" ht="13.5" thickTop="1">
      <c r="A42" s="119"/>
      <c r="B42" s="119"/>
      <c r="C42" s="119"/>
      <c r="D42" s="119"/>
      <c r="E42" s="119"/>
      <c r="F42" s="126"/>
      <c r="G42" s="119"/>
      <c r="H42" s="119"/>
    </row>
    <row r="43" spans="1:8" ht="22.5">
      <c r="A43" s="111" t="s">
        <v>665</v>
      </c>
      <c r="B43" s="112" t="str">
        <f>VLOOKUP(A43,'Orçamento Sintético'!$A:$H,2,0)</f>
        <v> MPDFT0888 </v>
      </c>
      <c r="C43" s="112" t="str">
        <f>VLOOKUP(A43,'Orçamento Sintético'!$A:$H,3,0)</f>
        <v>Próprio</v>
      </c>
      <c r="D43" s="113" t="str">
        <f>VLOOKUP(A43,'Orçamento Sintético'!$A:$H,4,0)</f>
        <v>Cópia da Iopes (010225) - Retirada de peças de granito - bancada, banca, balcão, prateleira</v>
      </c>
      <c r="E43" s="112" t="str">
        <f>VLOOKUP(A43,'Orçamento Sintético'!$A:$H,5,0)</f>
        <v>m²</v>
      </c>
      <c r="F43" s="124"/>
      <c r="G43" s="114"/>
      <c r="H43" s="114">
        <f>SUM(H44:H45)</f>
        <v>26.240000000000002</v>
      </c>
    </row>
    <row r="44" spans="1:8" ht="12.75">
      <c r="A44" s="115" t="str">
        <f>VLOOKUP(B44,'Insumos e Serviços'!$A:$F,3,0)</f>
        <v>Composição</v>
      </c>
      <c r="B44" s="116" t="s">
        <v>210</v>
      </c>
      <c r="C44" s="116" t="str">
        <f>VLOOKUP(B44,'Insumos e Serviços'!$A:$F,2,0)</f>
        <v>SINAPI</v>
      </c>
      <c r="D44" s="117" t="str">
        <f>VLOOKUP(B44,'Insumos e Serviços'!$A:$F,4,0)</f>
        <v>PEDREIRO COM ENCARGOS COMPLEMENTARES</v>
      </c>
      <c r="E44" s="116" t="str">
        <f>VLOOKUP(B44,'Insumos e Serviços'!$A:$F,5,0)</f>
        <v>H</v>
      </c>
      <c r="F44" s="125">
        <v>0.6</v>
      </c>
      <c r="G44" s="118">
        <f>VLOOKUP(B44,'Insumos e Serviços'!$A:$F,6,0)</f>
        <v>25.09</v>
      </c>
      <c r="H44" s="118">
        <f>TRUNC(F44*G44,2)</f>
        <v>15.05</v>
      </c>
    </row>
    <row r="45" spans="1:8" ht="13.5" thickBot="1">
      <c r="A45" s="115" t="str">
        <f>VLOOKUP(B45,'Insumos e Serviços'!$A:$F,3,0)</f>
        <v>Composição</v>
      </c>
      <c r="B45" s="116" t="s">
        <v>200</v>
      </c>
      <c r="C45" s="116" t="str">
        <f>VLOOKUP(B45,'Insumos e Serviços'!$A:$F,2,0)</f>
        <v>SINAPI</v>
      </c>
      <c r="D45" s="117" t="str">
        <f>VLOOKUP(B45,'Insumos e Serviços'!$A:$F,4,0)</f>
        <v>SERVENTE COM ENCARGOS COMPLEMENTARES</v>
      </c>
      <c r="E45" s="116" t="str">
        <f>VLOOKUP(B45,'Insumos e Serviços'!$A:$F,5,0)</f>
        <v>H</v>
      </c>
      <c r="F45" s="125">
        <v>0.6</v>
      </c>
      <c r="G45" s="118">
        <f>VLOOKUP(B45,'Insumos e Serviços'!$A:$F,6,0)</f>
        <v>18.65</v>
      </c>
      <c r="H45" s="118">
        <f>TRUNC(F45*G45,2)</f>
        <v>11.19</v>
      </c>
    </row>
    <row r="46" spans="1:8" ht="13.5" thickTop="1">
      <c r="A46" s="119"/>
      <c r="B46" s="119"/>
      <c r="C46" s="119"/>
      <c r="D46" s="119"/>
      <c r="E46" s="119"/>
      <c r="F46" s="126"/>
      <c r="G46" s="119"/>
      <c r="H46" s="119"/>
    </row>
    <row r="47" spans="1:8" ht="22.5">
      <c r="A47" s="111" t="s">
        <v>668</v>
      </c>
      <c r="B47" s="112" t="str">
        <f>VLOOKUP(A47,'Orçamento Sintético'!$A:$H,2,0)</f>
        <v> MPDFT0601 </v>
      </c>
      <c r="C47" s="112" t="str">
        <f>VLOOKUP(A47,'Orçamento Sintético'!$A:$H,3,0)</f>
        <v>Próprio</v>
      </c>
      <c r="D47" s="113" t="str">
        <f>VLOOKUP(A47,'Orçamento Sintético'!$A:$H,4,0)</f>
        <v>Copia da CPOS (04.09.080) - Retirada de batente, corrimão ou peças lineares metálicas, fixados</v>
      </c>
      <c r="E47" s="112" t="str">
        <f>VLOOKUP(A47,'Orçamento Sintético'!$A:$H,5,0)</f>
        <v>m</v>
      </c>
      <c r="F47" s="124"/>
      <c r="G47" s="114"/>
      <c r="H47" s="114">
        <f>SUM(H48)</f>
        <v>7.52</v>
      </c>
    </row>
    <row r="48" spans="1:8" ht="13.5" thickBot="1">
      <c r="A48" s="115" t="str">
        <f>VLOOKUP(B48,'Insumos e Serviços'!$A:$F,3,0)</f>
        <v>Composição</v>
      </c>
      <c r="B48" s="116" t="s">
        <v>210</v>
      </c>
      <c r="C48" s="116" t="str">
        <f>VLOOKUP(B48,'Insumos e Serviços'!$A:$F,2,0)</f>
        <v>SINAPI</v>
      </c>
      <c r="D48" s="117" t="str">
        <f>VLOOKUP(B48,'Insumos e Serviços'!$A:$F,4,0)</f>
        <v>PEDREIRO COM ENCARGOS COMPLEMENTARES</v>
      </c>
      <c r="E48" s="116" t="str">
        <f>VLOOKUP(B48,'Insumos e Serviços'!$A:$F,5,0)</f>
        <v>H</v>
      </c>
      <c r="F48" s="125">
        <v>0.3</v>
      </c>
      <c r="G48" s="118">
        <f>VLOOKUP(B48,'Insumos e Serviços'!$A:$F,6,0)</f>
        <v>25.09</v>
      </c>
      <c r="H48" s="118">
        <f>TRUNC(F48*G48,2)</f>
        <v>7.52</v>
      </c>
    </row>
    <row r="49" spans="1:8" ht="13.5" thickTop="1">
      <c r="A49" s="119"/>
      <c r="B49" s="119"/>
      <c r="C49" s="119"/>
      <c r="D49" s="119"/>
      <c r="E49" s="119"/>
      <c r="F49" s="126"/>
      <c r="G49" s="119"/>
      <c r="H49" s="119"/>
    </row>
    <row r="50" spans="1:8" ht="12.75">
      <c r="A50" s="111" t="s">
        <v>670</v>
      </c>
      <c r="B50" s="112" t="str">
        <f>VLOOKUP(A50,'Orçamento Sintético'!$A:$H,2,0)</f>
        <v> MPDFT0903 </v>
      </c>
      <c r="C50" s="112" t="str">
        <f>VLOOKUP(A50,'Orçamento Sintético'!$A:$H,3,0)</f>
        <v>Próprio</v>
      </c>
      <c r="D50" s="113" t="str">
        <f>VLOOKUP(A50,'Orçamento Sintético'!$A:$H,4,0)</f>
        <v>Copia da SBC (022441) - REMOÇÃO DE DIVISÓRIAS SANITÁRIA DE MADEIRA</v>
      </c>
      <c r="E50" s="112" t="str">
        <f>VLOOKUP(A50,'Orçamento Sintético'!$A:$H,5,0)</f>
        <v>m²</v>
      </c>
      <c r="F50" s="124"/>
      <c r="G50" s="114"/>
      <c r="H50" s="114">
        <f>SUM(H51:H52)</f>
        <v>13.23</v>
      </c>
    </row>
    <row r="51" spans="1:8" ht="12.75">
      <c r="A51" s="115" t="str">
        <f>VLOOKUP(B51,'Insumos e Serviços'!$A:$F,3,0)</f>
        <v>Composição</v>
      </c>
      <c r="B51" s="116" t="s">
        <v>210</v>
      </c>
      <c r="C51" s="116" t="str">
        <f>VLOOKUP(B51,'Insumos e Serviços'!$A:$F,2,0)</f>
        <v>SINAPI</v>
      </c>
      <c r="D51" s="117" t="str">
        <f>VLOOKUP(B51,'Insumos e Serviços'!$A:$F,4,0)</f>
        <v>PEDREIRO COM ENCARGOS COMPLEMENTARES</v>
      </c>
      <c r="E51" s="116" t="str">
        <f>VLOOKUP(B51,'Insumos e Serviços'!$A:$F,5,0)</f>
        <v>H</v>
      </c>
      <c r="F51" s="125">
        <v>0.212</v>
      </c>
      <c r="G51" s="118">
        <f>VLOOKUP(B51,'Insumos e Serviços'!$A:$F,6,0)</f>
        <v>25.09</v>
      </c>
      <c r="H51" s="118">
        <f>TRUNC(F51*G51,2)</f>
        <v>5.31</v>
      </c>
    </row>
    <row r="52" spans="1:8" ht="13.5" thickBot="1">
      <c r="A52" s="115" t="str">
        <f>VLOOKUP(B52,'Insumos e Serviços'!$A:$F,3,0)</f>
        <v>Composição</v>
      </c>
      <c r="B52" s="116" t="s">
        <v>200</v>
      </c>
      <c r="C52" s="116" t="str">
        <f>VLOOKUP(B52,'Insumos e Serviços'!$A:$F,2,0)</f>
        <v>SINAPI</v>
      </c>
      <c r="D52" s="117" t="str">
        <f>VLOOKUP(B52,'Insumos e Serviços'!$A:$F,4,0)</f>
        <v>SERVENTE COM ENCARGOS COMPLEMENTARES</v>
      </c>
      <c r="E52" s="116" t="str">
        <f>VLOOKUP(B52,'Insumos e Serviços'!$A:$F,5,0)</f>
        <v>H</v>
      </c>
      <c r="F52" s="125">
        <v>0.425</v>
      </c>
      <c r="G52" s="118">
        <f>VLOOKUP(B52,'Insumos e Serviços'!$A:$F,6,0)</f>
        <v>18.65</v>
      </c>
      <c r="H52" s="118">
        <f>TRUNC(F52*G52,2)</f>
        <v>7.92</v>
      </c>
    </row>
    <row r="53" spans="1:8" ht="13.5" thickTop="1">
      <c r="A53" s="119"/>
      <c r="B53" s="119"/>
      <c r="C53" s="119"/>
      <c r="D53" s="119"/>
      <c r="E53" s="119"/>
      <c r="F53" s="126"/>
      <c r="G53" s="119"/>
      <c r="H53" s="119"/>
    </row>
    <row r="54" spans="1:8" ht="22.5">
      <c r="A54" s="111" t="s">
        <v>675</v>
      </c>
      <c r="B54" s="112" t="str">
        <f>VLOOKUP(A54,'Orçamento Sintético'!$A:$H,2,0)</f>
        <v> MPDFT1096 </v>
      </c>
      <c r="C54" s="112" t="str">
        <f>VLOOKUP(A54,'Orçamento Sintético'!$A:$H,3,0)</f>
        <v>Próprio</v>
      </c>
      <c r="D54" s="113" t="str">
        <f>VLOOKUP(A54,'Orçamento Sintético'!$A:$H,4,0)</f>
        <v>Baseado da SEDOP (091518) - Remoção cuidadosa de Pele de vidro, vidro e semelhantes, incluindo o mapeamento, proteção e estocagem adequada</v>
      </c>
      <c r="E54" s="112" t="str">
        <f>VLOOKUP(A54,'Orçamento Sintético'!$A:$H,5,0)</f>
        <v>m²</v>
      </c>
      <c r="F54" s="124"/>
      <c r="G54" s="114"/>
      <c r="H54" s="114">
        <f>SUM(H55:H57)</f>
        <v>102.02000000000001</v>
      </c>
    </row>
    <row r="55" spans="1:8" ht="12.75">
      <c r="A55" s="115" t="str">
        <f>VLOOKUP(B55,'Insumos e Serviços'!$A:$F,3,0)</f>
        <v>Composição</v>
      </c>
      <c r="B55" s="116" t="s">
        <v>210</v>
      </c>
      <c r="C55" s="116" t="str">
        <f>VLOOKUP(B55,'Insumos e Serviços'!$A:$F,2,0)</f>
        <v>SINAPI</v>
      </c>
      <c r="D55" s="117" t="str">
        <f>VLOOKUP(B55,'Insumos e Serviços'!$A:$F,4,0)</f>
        <v>PEDREIRO COM ENCARGOS COMPLEMENTARES</v>
      </c>
      <c r="E55" s="116" t="str">
        <f>VLOOKUP(B55,'Insumos e Serviços'!$A:$F,5,0)</f>
        <v>H</v>
      </c>
      <c r="F55" s="125">
        <v>2.25</v>
      </c>
      <c r="G55" s="118">
        <f>VLOOKUP(B55,'Insumos e Serviços'!$A:$F,6,0)</f>
        <v>25.09</v>
      </c>
      <c r="H55" s="118">
        <f>TRUNC(F55*G55,2)</f>
        <v>56.45</v>
      </c>
    </row>
    <row r="56" spans="1:8" ht="12.75">
      <c r="A56" s="115" t="str">
        <f>VLOOKUP(B56,'Insumos e Serviços'!$A:$F,3,0)</f>
        <v>Composição</v>
      </c>
      <c r="B56" s="116" t="s">
        <v>213</v>
      </c>
      <c r="C56" s="116" t="str">
        <f>VLOOKUP(B56,'Insumos e Serviços'!$A:$F,2,0)</f>
        <v>SINAPI</v>
      </c>
      <c r="D56" s="117" t="str">
        <f>VLOOKUP(B56,'Insumos e Serviços'!$A:$F,4,0)</f>
        <v>AJUDANTE ESPECIALIZADO COM ENCARGOS COMPLEMENTARES</v>
      </c>
      <c r="E56" s="116" t="str">
        <f>VLOOKUP(B56,'Insumos e Serviços'!$A:$F,5,0)</f>
        <v>H</v>
      </c>
      <c r="F56" s="125">
        <v>2.25</v>
      </c>
      <c r="G56" s="118">
        <f>VLOOKUP(B56,'Insumos e Serviços'!$A:$F,6,0)</f>
        <v>19.7</v>
      </c>
      <c r="H56" s="118">
        <f>TRUNC(F56*G56,2)</f>
        <v>44.32</v>
      </c>
    </row>
    <row r="57" spans="1:8" ht="13.5" thickBot="1">
      <c r="A57" s="115" t="str">
        <f>VLOOKUP(B57,'Insumos e Serviços'!$A:$F,3,0)</f>
        <v>Insumo</v>
      </c>
      <c r="B57" s="116" t="s">
        <v>203</v>
      </c>
      <c r="C57" s="116" t="str">
        <f>VLOOKUP(B57,'Insumos e Serviços'!$A:$F,2,0)</f>
        <v>Próprio</v>
      </c>
      <c r="D57" s="117" t="str">
        <f>VLOOKUP(B57,'Insumos e Serviços'!$A:$F,4,0)</f>
        <v>Plástico bolha</v>
      </c>
      <c r="E57" s="116" t="str">
        <f>VLOOKUP(B57,'Insumos e Serviços'!$A:$F,5,0)</f>
        <v>m²</v>
      </c>
      <c r="F57" s="125">
        <v>2.5</v>
      </c>
      <c r="G57" s="118">
        <f>VLOOKUP(B57,'Insumos e Serviços'!$A:$F,6,0)</f>
        <v>0.5</v>
      </c>
      <c r="H57" s="118">
        <f>TRUNC(F57*G57,2)</f>
        <v>1.25</v>
      </c>
    </row>
    <row r="58" spans="1:8" ht="13.5" thickTop="1">
      <c r="A58" s="119"/>
      <c r="B58" s="119"/>
      <c r="C58" s="119"/>
      <c r="D58" s="119"/>
      <c r="E58" s="119"/>
      <c r="F58" s="126"/>
      <c r="G58" s="119"/>
      <c r="H58" s="119"/>
    </row>
    <row r="59" spans="1:8" ht="12.75">
      <c r="A59" s="105" t="s">
        <v>124</v>
      </c>
      <c r="B59" s="106"/>
      <c r="C59" s="106"/>
      <c r="D59" s="105" t="str">
        <f>VLOOKUP(A59,'Orçamento Sintético'!$A:$H,4,0)</f>
        <v>ARQUITETURA E ELEMENTOS DE URBANISMO</v>
      </c>
      <c r="E59" s="106"/>
      <c r="F59" s="122"/>
      <c r="G59" s="105"/>
      <c r="H59" s="107"/>
    </row>
    <row r="60" spans="1:8" ht="12.75">
      <c r="A60" s="108" t="s">
        <v>679</v>
      </c>
      <c r="B60" s="109"/>
      <c r="C60" s="109"/>
      <c r="D60" s="108" t="str">
        <f>VLOOKUP(A60,'Orçamento Sintético'!$A:$H,4,0)</f>
        <v>ARQUITETURA</v>
      </c>
      <c r="E60" s="109"/>
      <c r="F60" s="123"/>
      <c r="G60" s="108"/>
      <c r="H60" s="110"/>
    </row>
    <row r="61" spans="1:8" ht="12.75">
      <c r="A61" s="108" t="s">
        <v>680</v>
      </c>
      <c r="B61" s="109"/>
      <c r="C61" s="109"/>
      <c r="D61" s="108" t="str">
        <f>VLOOKUP(A61,'Orçamento Sintético'!$A:$H,4,0)</f>
        <v>Paredes</v>
      </c>
      <c r="E61" s="109"/>
      <c r="F61" s="123"/>
      <c r="G61" s="108"/>
      <c r="H61" s="110"/>
    </row>
    <row r="62" spans="1:8" ht="45">
      <c r="A62" s="111" t="s">
        <v>683</v>
      </c>
      <c r="B62" s="112" t="str">
        <f>VLOOKUP(A62,'Orçamento Sintético'!$A:$H,2,0)</f>
        <v> MPDFT0119 </v>
      </c>
      <c r="C62" s="112" t="str">
        <f>VLOOKUP(A62,'Orçamento Sintético'!$A:$H,3,0)</f>
        <v>Próprio</v>
      </c>
      <c r="D62" s="113" t="str">
        <f>VLOOKUP(A62,'Orçamento Sintético'!$A:$H,4,0)</f>
        <v>Divisória sanitários e vestiários em laminado estrutural TS (maciço), branco, com e = 10 mm, dupla face decorativa texturizada, modelo Alcoplac Normatizado, fab. Neocom incluindo portas e conjunto de ferragens</v>
      </c>
      <c r="E62" s="112" t="str">
        <f>VLOOKUP(A62,'Orçamento Sintético'!$A:$H,5,0)</f>
        <v>m²</v>
      </c>
      <c r="F62" s="124"/>
      <c r="G62" s="114"/>
      <c r="H62" s="114">
        <f>SUM(H63)</f>
        <v>999.25</v>
      </c>
    </row>
    <row r="63" spans="1:8" ht="34.5" thickBot="1">
      <c r="A63" s="115" t="str">
        <f>VLOOKUP(B63,'Insumos e Serviços'!$A:$F,3,0)</f>
        <v>Insumo</v>
      </c>
      <c r="B63" s="116" t="s">
        <v>434</v>
      </c>
      <c r="C63" s="116" t="str">
        <f>VLOOKUP(B63,'Insumos e Serviços'!$A:$F,2,0)</f>
        <v>Próprio</v>
      </c>
      <c r="D63" s="117" t="str">
        <f>VLOOKUP(B63,'Insumos e Serviços'!$A:$F,4,0)</f>
        <v>Divisória sanitários e vestiários em laminado estrutural TS (maciço), branco, com e=10 mm, dupla face decorativa texturizada, modelo Alcoplac Normatizado, fab. Neocom, incluindo portas e conjunto de ferragens</v>
      </c>
      <c r="E63" s="116" t="str">
        <f>VLOOKUP(B63,'Insumos e Serviços'!$A:$F,5,0)</f>
        <v>m²</v>
      </c>
      <c r="F63" s="125">
        <v>1</v>
      </c>
      <c r="G63" s="118">
        <f>VLOOKUP(B63,'Insumos e Serviços'!$A:$F,6,0)</f>
        <v>999.25</v>
      </c>
      <c r="H63" s="118">
        <f>TRUNC(F63*G63,2)</f>
        <v>999.25</v>
      </c>
    </row>
    <row r="64" spans="1:8" ht="13.5" thickTop="1">
      <c r="A64" s="119"/>
      <c r="B64" s="119"/>
      <c r="C64" s="119"/>
      <c r="D64" s="119"/>
      <c r="E64" s="119"/>
      <c r="F64" s="126"/>
      <c r="G64" s="119"/>
      <c r="H64" s="119"/>
    </row>
    <row r="65" spans="1:8" ht="12.75">
      <c r="A65" s="108" t="s">
        <v>688</v>
      </c>
      <c r="B65" s="109"/>
      <c r="C65" s="109"/>
      <c r="D65" s="108" t="str">
        <f>VLOOKUP(A65,'Orçamento Sintético'!$A:$H,4,0)</f>
        <v>Esquadria de madeira</v>
      </c>
      <c r="E65" s="109"/>
      <c r="F65" s="123"/>
      <c r="G65" s="108"/>
      <c r="H65" s="110"/>
    </row>
    <row r="66" spans="1:8" ht="33.75">
      <c r="A66" s="111" t="s">
        <v>690</v>
      </c>
      <c r="B66" s="112" t="str">
        <f>VLOOKUP(A66,'Orçamento Sintético'!$A:$H,2,0)</f>
        <v> MPDFT0891 </v>
      </c>
      <c r="C66" s="112" t="str">
        <f>VLOOKUP(A66,'Orçamento Sintético'!$A:$H,3,0)</f>
        <v>Próprio</v>
      </c>
      <c r="D66" s="113" t="str">
        <f>VLOOKUP(A66,'Orçamento Sintético'!$A:$H,4,0)</f>
        <v>Porta de madeira (PM), DM 0,90 x 2,10 m, acabamento em laminado melamínico texturizado, inclusive dobradiça, fechadura, barra de apoio e grelha 525x325mm</v>
      </c>
      <c r="E66" s="112" t="str">
        <f>VLOOKUP(A66,'Orçamento Sintético'!$A:$H,5,0)</f>
        <v>un</v>
      </c>
      <c r="F66" s="124"/>
      <c r="G66" s="114"/>
      <c r="H66" s="114">
        <f>SUM(H67:H76)</f>
        <v>2113.92</v>
      </c>
    </row>
    <row r="67" spans="1:8" ht="12.75">
      <c r="A67" s="115" t="str">
        <f>VLOOKUP(B67,'Insumos e Serviços'!$A:$F,3,0)</f>
        <v>Composição</v>
      </c>
      <c r="B67" s="116" t="s">
        <v>200</v>
      </c>
      <c r="C67" s="116" t="str">
        <f>VLOOKUP(B67,'Insumos e Serviços'!$A:$F,2,0)</f>
        <v>SINAPI</v>
      </c>
      <c r="D67" s="117" t="str">
        <f>VLOOKUP(B67,'Insumos e Serviços'!$A:$F,4,0)</f>
        <v>SERVENTE COM ENCARGOS COMPLEMENTARES</v>
      </c>
      <c r="E67" s="116" t="str">
        <f>VLOOKUP(B67,'Insumos e Serviços'!$A:$F,5,0)</f>
        <v>H</v>
      </c>
      <c r="F67" s="125">
        <v>1.4495</v>
      </c>
      <c r="G67" s="118">
        <f>VLOOKUP(B67,'Insumos e Serviços'!$A:$F,6,0)</f>
        <v>18.65</v>
      </c>
      <c r="H67" s="118">
        <f aca="true" t="shared" si="0" ref="H67:H76">TRUNC(F67*G67,2)</f>
        <v>27.03</v>
      </c>
    </row>
    <row r="68" spans="1:8" ht="12.75">
      <c r="A68" s="115" t="str">
        <f>VLOOKUP(B68,'Insumos e Serviços'!$A:$F,3,0)</f>
        <v>Composição</v>
      </c>
      <c r="B68" s="116" t="s">
        <v>1043</v>
      </c>
      <c r="C68" s="116" t="str">
        <f>VLOOKUP(B68,'Insumos e Serviços'!$A:$F,2,0)</f>
        <v>SINAPI</v>
      </c>
      <c r="D68" s="117" t="str">
        <f>VLOOKUP(B68,'Insumos e Serviços'!$A:$F,4,0)</f>
        <v>CARPINTEIRO DE ESQUADRIA COM ENCARGOS COMPLEMENTARES</v>
      </c>
      <c r="E68" s="116" t="str">
        <f>VLOOKUP(B68,'Insumos e Serviços'!$A:$F,5,0)</f>
        <v>H</v>
      </c>
      <c r="F68" s="125">
        <v>1.601</v>
      </c>
      <c r="G68" s="118">
        <f>VLOOKUP(B68,'Insumos e Serviços'!$A:$F,6,0)</f>
        <v>23.82</v>
      </c>
      <c r="H68" s="118">
        <f t="shared" si="0"/>
        <v>38.13</v>
      </c>
    </row>
    <row r="69" spans="1:8" ht="33.75">
      <c r="A69" s="115" t="str">
        <f>VLOOKUP(B69,'Insumos e Serviços'!$A:$F,3,0)</f>
        <v>Composição</v>
      </c>
      <c r="B69" s="116" t="s">
        <v>1045</v>
      </c>
      <c r="C69" s="116" t="str">
        <f>VLOOKUP(B69,'Insumos e Serviços'!$A:$F,2,0)</f>
        <v>SINAPI</v>
      </c>
      <c r="D69" s="117" t="str">
        <f>VLOOKUP(B69,'Insumos e Serviços'!$A:$F,4,0)</f>
        <v>PORTA DE MADEIRA PARA VERNIZ, SEMI-OCA (LEVE OU MÉDIA), 90X210CM, ESPESSURA DE 3,5CM, INCLUSO DOBRADIÇAS - FORNECIMENTO E INSTALAÇÃO. AF_12/2019</v>
      </c>
      <c r="E69" s="116" t="str">
        <f>VLOOKUP(B69,'Insumos e Serviços'!$A:$F,5,0)</f>
        <v>UN</v>
      </c>
      <c r="F69" s="125">
        <v>1</v>
      </c>
      <c r="G69" s="118">
        <f>VLOOKUP(B69,'Insumos e Serviços'!$A:$F,6,0)</f>
        <v>466.52</v>
      </c>
      <c r="H69" s="118">
        <f t="shared" si="0"/>
        <v>466.52</v>
      </c>
    </row>
    <row r="70" spans="1:8" ht="12.75">
      <c r="A70" s="115" t="str">
        <f>VLOOKUP(B70,'Insumos e Serviços'!$A:$F,3,0)</f>
        <v>Composição</v>
      </c>
      <c r="B70" s="116" t="s">
        <v>1047</v>
      </c>
      <c r="C70" s="116" t="str">
        <f>VLOOKUP(B70,'Insumos e Serviços'!$A:$F,2,0)</f>
        <v>SINAPI</v>
      </c>
      <c r="D70" s="117" t="str">
        <f>VLOOKUP(B70,'Insumos e Serviços'!$A:$F,4,0)</f>
        <v>MARCENEIRO COM ENCARGOS COMPLEMENTARES</v>
      </c>
      <c r="E70" s="116" t="str">
        <f>VLOOKUP(B70,'Insumos e Serviços'!$A:$F,5,0)</f>
        <v>H</v>
      </c>
      <c r="F70" s="125">
        <v>2.8474</v>
      </c>
      <c r="G70" s="118">
        <f>VLOOKUP(B70,'Insumos e Serviços'!$A:$F,6,0)</f>
        <v>23.53</v>
      </c>
      <c r="H70" s="118">
        <f t="shared" si="0"/>
        <v>66.99</v>
      </c>
    </row>
    <row r="71" spans="1:8" ht="12.75">
      <c r="A71" s="115" t="str">
        <f>VLOOKUP(B71,'Insumos e Serviços'!$A:$F,3,0)</f>
        <v>Composição</v>
      </c>
      <c r="B71" s="116" t="s">
        <v>205</v>
      </c>
      <c r="C71" s="116" t="str">
        <f>VLOOKUP(B71,'Insumos e Serviços'!$A:$F,2,0)</f>
        <v>SINAPI</v>
      </c>
      <c r="D71" s="117" t="str">
        <f>VLOOKUP(B71,'Insumos e Serviços'!$A:$F,4,0)</f>
        <v>ENCANADOR OU BOMBEIRO HIDRÁULICO COM ENCARGOS COMPLEMENTARES</v>
      </c>
      <c r="E71" s="116" t="str">
        <f>VLOOKUP(B71,'Insumos e Serviços'!$A:$F,5,0)</f>
        <v>H</v>
      </c>
      <c r="F71" s="125">
        <v>0.2898</v>
      </c>
      <c r="G71" s="118">
        <f>VLOOKUP(B71,'Insumos e Serviços'!$A:$F,6,0)</f>
        <v>24.48</v>
      </c>
      <c r="H71" s="118">
        <f t="shared" si="0"/>
        <v>7.09</v>
      </c>
    </row>
    <row r="72" spans="1:8" ht="33.75">
      <c r="A72" s="115" t="str">
        <f>VLOOKUP(B72,'Insumos e Serviços'!$A:$F,3,0)</f>
        <v>Insumo</v>
      </c>
      <c r="B72" s="116" t="s">
        <v>1049</v>
      </c>
      <c r="C72" s="116" t="str">
        <f>VLOOKUP(B72,'Insumos e Serviços'!$A:$F,2,0)</f>
        <v>SINAPI</v>
      </c>
      <c r="D72" s="117" t="str">
        <f>VLOOKUP(B72,'Insumos e Serviços'!$A:$F,4,0)</f>
        <v>FECHADURA DE EMBUTIR PARA PORTA EXTERNA, MAQUINA 55 MM, COM CILINDRO, MACANETA ALAVANCA E ROSETA REDONDA EM METAL CROMADO - NIVEL DE SEGURANCA MEDIO - COMPLETA</v>
      </c>
      <c r="E72" s="116" t="str">
        <f>VLOOKUP(B72,'Insumos e Serviços'!$A:$F,5,0)</f>
        <v>CJ</v>
      </c>
      <c r="F72" s="125">
        <v>1.5</v>
      </c>
      <c r="G72" s="118">
        <f>VLOOKUP(B72,'Insumos e Serviços'!$A:$F,6,0)</f>
        <v>119.5</v>
      </c>
      <c r="H72" s="118">
        <f t="shared" si="0"/>
        <v>179.25</v>
      </c>
    </row>
    <row r="73" spans="1:8" ht="22.5">
      <c r="A73" s="115" t="str">
        <f>VLOOKUP(B73,'Insumos e Serviços'!$A:$F,3,0)</f>
        <v>Insumo</v>
      </c>
      <c r="B73" s="116" t="s">
        <v>438</v>
      </c>
      <c r="C73" s="116" t="str">
        <f>VLOOKUP(B73,'Insumos e Serviços'!$A:$F,2,0)</f>
        <v>Próprio</v>
      </c>
      <c r="D73" s="117" t="str">
        <f>VLOOKUP(B73,'Insumos e Serviços'!$A:$F,4,0)</f>
        <v>Laminado melamínico, acabamento texturizado, cor branca, espessura 1,3mm, referência L190, fab. Fórmica</v>
      </c>
      <c r="E73" s="116" t="str">
        <f>VLOOKUP(B73,'Insumos e Serviços'!$A:$F,5,0)</f>
        <v>m²</v>
      </c>
      <c r="F73" s="125">
        <v>6.275</v>
      </c>
      <c r="G73" s="118">
        <f>VLOOKUP(B73,'Insumos e Serviços'!$A:$F,6,0)</f>
        <v>116.86</v>
      </c>
      <c r="H73" s="118">
        <f t="shared" si="0"/>
        <v>733.29</v>
      </c>
    </row>
    <row r="74" spans="1:8" ht="12.75">
      <c r="A74" s="115" t="str">
        <f>VLOOKUP(B74,'Insumos e Serviços'!$A:$F,3,0)</f>
        <v>Insumo</v>
      </c>
      <c r="B74" s="116" t="s">
        <v>1052</v>
      </c>
      <c r="C74" s="116" t="str">
        <f>VLOOKUP(B74,'Insumos e Serviços'!$A:$F,2,0)</f>
        <v>SINAPI</v>
      </c>
      <c r="D74" s="117" t="str">
        <f>VLOOKUP(B74,'Insumos e Serviços'!$A:$F,4,0)</f>
        <v>COLA A BASE DE RESINA SINTETICA PARA CHAPA DE LAMINADO MELAMINICO</v>
      </c>
      <c r="E74" s="116" t="str">
        <f>VLOOKUP(B74,'Insumos e Serviços'!$A:$F,5,0)</f>
        <v>KG</v>
      </c>
      <c r="F74" s="125">
        <v>3.024</v>
      </c>
      <c r="G74" s="118">
        <f>VLOOKUP(B74,'Insumos e Serviços'!$A:$F,6,0)</f>
        <v>45.94</v>
      </c>
      <c r="H74" s="118">
        <f t="shared" si="0"/>
        <v>138.92</v>
      </c>
    </row>
    <row r="75" spans="1:8" ht="22.5">
      <c r="A75" s="115" t="str">
        <f>VLOOKUP(B75,'Insumos e Serviços'!$A:$F,3,0)</f>
        <v>Insumo</v>
      </c>
      <c r="B75" s="116" t="s">
        <v>455</v>
      </c>
      <c r="C75" s="116" t="str">
        <f>VLOOKUP(B75,'Insumos e Serviços'!$A:$F,2,0)</f>
        <v>Próprio</v>
      </c>
      <c r="D75" s="117" t="str">
        <f>VLOOKUP(B75,'Insumos e Serviços'!$A:$F,4,0)</f>
        <v>Grelha em alumínio 325 x 525 mm, ref. Grelha de Retorno AGS-T (com contra-moldura), Trox do Brasil</v>
      </c>
      <c r="E75" s="116" t="str">
        <f>VLOOKUP(B75,'Insumos e Serviços'!$A:$F,5,0)</f>
        <v>un</v>
      </c>
      <c r="F75" s="125">
        <v>1</v>
      </c>
      <c r="G75" s="118">
        <f>VLOOKUP(B75,'Insumos e Serviços'!$A:$F,6,0)</f>
        <v>398.54</v>
      </c>
      <c r="H75" s="118">
        <f t="shared" si="0"/>
        <v>398.54</v>
      </c>
    </row>
    <row r="76" spans="1:8" ht="23.25" thickBot="1">
      <c r="A76" s="115" t="str">
        <f>VLOOKUP(B76,'Insumos e Serviços'!$A:$F,3,0)</f>
        <v>Insumo</v>
      </c>
      <c r="B76" s="116" t="s">
        <v>405</v>
      </c>
      <c r="C76" s="116" t="str">
        <f>VLOOKUP(B76,'Insumos e Serviços'!$A:$F,2,0)</f>
        <v>Próprio</v>
      </c>
      <c r="D76" s="117" t="str">
        <f>VLOOKUP(B76,'Insumos e Serviços'!$A:$F,4,0)</f>
        <v>Barra de apoio tubular reta 45cm, Ø31,75mm e=2mm, em alumínio, acabamento com pintura epóxi branca, Linha Acessibilidade, fab. Leve Vida</v>
      </c>
      <c r="E76" s="116" t="str">
        <f>VLOOKUP(B76,'Insumos e Serviços'!$A:$F,5,0)</f>
        <v>un</v>
      </c>
      <c r="F76" s="125">
        <v>1</v>
      </c>
      <c r="G76" s="118">
        <f>VLOOKUP(B76,'Insumos e Serviços'!$A:$F,6,0)</f>
        <v>58.16</v>
      </c>
      <c r="H76" s="118">
        <f t="shared" si="0"/>
        <v>58.16</v>
      </c>
    </row>
    <row r="77" spans="1:8" ht="13.5" thickTop="1">
      <c r="A77" s="119"/>
      <c r="B77" s="119"/>
      <c r="C77" s="119"/>
      <c r="D77" s="119"/>
      <c r="E77" s="119"/>
      <c r="F77" s="126"/>
      <c r="G77" s="119"/>
      <c r="H77" s="119"/>
    </row>
    <row r="78" spans="1:8" ht="33.75">
      <c r="A78" s="111" t="s">
        <v>693</v>
      </c>
      <c r="B78" s="112" t="str">
        <f>VLOOKUP(A78,'Orçamento Sintético'!$A:$H,2,0)</f>
        <v> MPDFT0892 </v>
      </c>
      <c r="C78" s="112" t="str">
        <f>VLOOKUP(A78,'Orçamento Sintético'!$A:$H,3,0)</f>
        <v>Próprio</v>
      </c>
      <c r="D78" s="113" t="str">
        <f>VLOOKUP(A78,'Orçamento Sintético'!$A:$H,4,0)</f>
        <v>Porta de madeira (PM), DM 0,80 x 2,10 m, acabamento em laminado melamínico texturizado, inclusive dobradiça, fechadura e grelha 525x325mm</v>
      </c>
      <c r="E78" s="112" t="str">
        <f>VLOOKUP(A78,'Orçamento Sintético'!$A:$H,5,0)</f>
        <v>un</v>
      </c>
      <c r="F78" s="124"/>
      <c r="G78" s="114"/>
      <c r="H78" s="114">
        <f>SUM(H79:H86)</f>
        <v>2006.8400000000001</v>
      </c>
    </row>
    <row r="79" spans="1:8" ht="12.75">
      <c r="A79" s="115" t="str">
        <f>VLOOKUP(B79,'Insumos e Serviços'!$A:$F,3,0)</f>
        <v>Composição</v>
      </c>
      <c r="B79" s="116" t="s">
        <v>200</v>
      </c>
      <c r="C79" s="116" t="str">
        <f>VLOOKUP(B79,'Insumos e Serviços'!$A:$F,2,0)</f>
        <v>SINAPI</v>
      </c>
      <c r="D79" s="117" t="str">
        <f>VLOOKUP(B79,'Insumos e Serviços'!$A:$F,4,0)</f>
        <v>SERVENTE COM ENCARGOS COMPLEMENTARES</v>
      </c>
      <c r="E79" s="116" t="str">
        <f>VLOOKUP(B79,'Insumos e Serviços'!$A:$F,5,0)</f>
        <v>H</v>
      </c>
      <c r="F79" s="125">
        <v>0.501</v>
      </c>
      <c r="G79" s="118">
        <f>VLOOKUP(B79,'Insumos e Serviços'!$A:$F,6,0)</f>
        <v>18.65</v>
      </c>
      <c r="H79" s="118">
        <f aca="true" t="shared" si="1" ref="H79:H86">TRUNC(F79*G79,2)</f>
        <v>9.34</v>
      </c>
    </row>
    <row r="80" spans="1:8" ht="12.75">
      <c r="A80" s="115" t="str">
        <f>VLOOKUP(B80,'Insumos e Serviços'!$A:$F,3,0)</f>
        <v>Composição</v>
      </c>
      <c r="B80" s="116" t="s">
        <v>1043</v>
      </c>
      <c r="C80" s="116" t="str">
        <f>VLOOKUP(B80,'Insumos e Serviços'!$A:$F,2,0)</f>
        <v>SINAPI</v>
      </c>
      <c r="D80" s="117" t="str">
        <f>VLOOKUP(B80,'Insumos e Serviços'!$A:$F,4,0)</f>
        <v>CARPINTEIRO DE ESQUADRIA COM ENCARGOS COMPLEMENTARES</v>
      </c>
      <c r="E80" s="116" t="str">
        <f>VLOOKUP(B80,'Insumos e Serviços'!$A:$F,5,0)</f>
        <v>H</v>
      </c>
      <c r="F80" s="125">
        <v>2.602</v>
      </c>
      <c r="G80" s="118">
        <f>VLOOKUP(B80,'Insumos e Serviços'!$A:$F,6,0)</f>
        <v>23.82</v>
      </c>
      <c r="H80" s="118">
        <f t="shared" si="1"/>
        <v>61.97</v>
      </c>
    </row>
    <row r="81" spans="1:8" ht="33.75">
      <c r="A81" s="115" t="str">
        <f>VLOOKUP(B81,'Insumos e Serviços'!$A:$F,3,0)</f>
        <v>Composição</v>
      </c>
      <c r="B81" s="116" t="s">
        <v>1054</v>
      </c>
      <c r="C81" s="116" t="str">
        <f>VLOOKUP(B81,'Insumos e Serviços'!$A:$F,2,0)</f>
        <v>SINAPI</v>
      </c>
      <c r="D81" s="117" t="str">
        <f>VLOOKUP(B81,'Insumos e Serviços'!$A:$F,4,0)</f>
        <v>PORTA DE MADEIRA PARA VERNIZ, SEMI-OCA (LEVE OU MÉDIA), 80X210CM, ESPESSURA DE 3,5CM, INCLUSO DOBRADIÇAS - FORNECIMENTO E INSTALAÇÃO. AF_12/2019</v>
      </c>
      <c r="E81" s="116" t="str">
        <f>VLOOKUP(B81,'Insumos e Serviços'!$A:$F,5,0)</f>
        <v>UN</v>
      </c>
      <c r="F81" s="125">
        <v>1</v>
      </c>
      <c r="G81" s="118">
        <f>VLOOKUP(B81,'Insumos e Serviços'!$A:$F,6,0)</f>
        <v>419.01</v>
      </c>
      <c r="H81" s="118">
        <f t="shared" si="1"/>
        <v>419.01</v>
      </c>
    </row>
    <row r="82" spans="1:8" ht="12.75">
      <c r="A82" s="115" t="str">
        <f>VLOOKUP(B82,'Insumos e Serviços'!$A:$F,3,0)</f>
        <v>Composição</v>
      </c>
      <c r="B82" s="116" t="s">
        <v>1047</v>
      </c>
      <c r="C82" s="116" t="str">
        <f>VLOOKUP(B82,'Insumos e Serviços'!$A:$F,2,0)</f>
        <v>SINAPI</v>
      </c>
      <c r="D82" s="117" t="str">
        <f>VLOOKUP(B82,'Insumos e Serviços'!$A:$F,4,0)</f>
        <v>MARCENEIRO COM ENCARGOS COMPLEMENTARES</v>
      </c>
      <c r="E82" s="116" t="str">
        <f>VLOOKUP(B82,'Insumos e Serviços'!$A:$F,5,0)</f>
        <v>H</v>
      </c>
      <c r="F82" s="125">
        <v>2.8274</v>
      </c>
      <c r="G82" s="118">
        <f>VLOOKUP(B82,'Insumos e Serviços'!$A:$F,6,0)</f>
        <v>23.53</v>
      </c>
      <c r="H82" s="118">
        <f t="shared" si="1"/>
        <v>66.52</v>
      </c>
    </row>
    <row r="83" spans="1:8" ht="33.75">
      <c r="A83" s="115" t="str">
        <f>VLOOKUP(B83,'Insumos e Serviços'!$A:$F,3,0)</f>
        <v>Insumo</v>
      </c>
      <c r="B83" s="116" t="s">
        <v>1049</v>
      </c>
      <c r="C83" s="116" t="str">
        <f>VLOOKUP(B83,'Insumos e Serviços'!$A:$F,2,0)</f>
        <v>SINAPI</v>
      </c>
      <c r="D83" s="117" t="str">
        <f>VLOOKUP(B83,'Insumos e Serviços'!$A:$F,4,0)</f>
        <v>FECHADURA DE EMBUTIR PARA PORTA EXTERNA, MAQUINA 55 MM, COM CILINDRO, MACANETA ALAVANCA E ROSETA REDONDA EM METAL CROMADO - NIVEL DE SEGURANCA MEDIO - COMPLETA</v>
      </c>
      <c r="E83" s="116" t="str">
        <f>VLOOKUP(B83,'Insumos e Serviços'!$A:$F,5,0)</f>
        <v>CJ</v>
      </c>
      <c r="F83" s="125">
        <v>1.5</v>
      </c>
      <c r="G83" s="118">
        <f>VLOOKUP(B83,'Insumos e Serviços'!$A:$F,6,0)</f>
        <v>119.5</v>
      </c>
      <c r="H83" s="118">
        <f t="shared" si="1"/>
        <v>179.25</v>
      </c>
    </row>
    <row r="84" spans="1:8" ht="22.5">
      <c r="A84" s="115" t="str">
        <f>VLOOKUP(B84,'Insumos e Serviços'!$A:$F,3,0)</f>
        <v>Insumo</v>
      </c>
      <c r="B84" s="116" t="s">
        <v>438</v>
      </c>
      <c r="C84" s="116" t="str">
        <f>VLOOKUP(B84,'Insumos e Serviços'!$A:$F,2,0)</f>
        <v>Próprio</v>
      </c>
      <c r="D84" s="117" t="str">
        <f>VLOOKUP(B84,'Insumos e Serviços'!$A:$F,4,0)</f>
        <v>Laminado melamínico, acabamento texturizado, cor branca, espessura 1,3mm, referência L190, fab. Fórmica</v>
      </c>
      <c r="E84" s="116" t="str">
        <f>VLOOKUP(B84,'Insumos e Serviços'!$A:$F,5,0)</f>
        <v>m²</v>
      </c>
      <c r="F84" s="125">
        <v>6.275</v>
      </c>
      <c r="G84" s="118">
        <f>VLOOKUP(B84,'Insumos e Serviços'!$A:$F,6,0)</f>
        <v>116.86</v>
      </c>
      <c r="H84" s="118">
        <f t="shared" si="1"/>
        <v>733.29</v>
      </c>
    </row>
    <row r="85" spans="1:8" ht="12.75">
      <c r="A85" s="115" t="str">
        <f>VLOOKUP(B85,'Insumos e Serviços'!$A:$F,3,0)</f>
        <v>Insumo</v>
      </c>
      <c r="B85" s="116" t="s">
        <v>1052</v>
      </c>
      <c r="C85" s="116" t="str">
        <f>VLOOKUP(B85,'Insumos e Serviços'!$A:$F,2,0)</f>
        <v>SINAPI</v>
      </c>
      <c r="D85" s="117" t="str">
        <f>VLOOKUP(B85,'Insumos e Serviços'!$A:$F,4,0)</f>
        <v>COLA A BASE DE RESINA SINTETICA PARA CHAPA DE LAMINADO MELAMINICO</v>
      </c>
      <c r="E85" s="116" t="str">
        <f>VLOOKUP(B85,'Insumos e Serviços'!$A:$F,5,0)</f>
        <v>KG</v>
      </c>
      <c r="F85" s="125">
        <v>3.024</v>
      </c>
      <c r="G85" s="118">
        <f>VLOOKUP(B85,'Insumos e Serviços'!$A:$F,6,0)</f>
        <v>45.94</v>
      </c>
      <c r="H85" s="118">
        <f t="shared" si="1"/>
        <v>138.92</v>
      </c>
    </row>
    <row r="86" spans="1:8" ht="23.25" thickBot="1">
      <c r="A86" s="115" t="str">
        <f>VLOOKUP(B86,'Insumos e Serviços'!$A:$F,3,0)</f>
        <v>Insumo</v>
      </c>
      <c r="B86" s="116" t="s">
        <v>455</v>
      </c>
      <c r="C86" s="116" t="str">
        <f>VLOOKUP(B86,'Insumos e Serviços'!$A:$F,2,0)</f>
        <v>Próprio</v>
      </c>
      <c r="D86" s="117" t="str">
        <f>VLOOKUP(B86,'Insumos e Serviços'!$A:$F,4,0)</f>
        <v>Grelha em alumínio 325 x 525 mm, ref. Grelha de Retorno AGS-T (com contra-moldura), Trox do Brasil</v>
      </c>
      <c r="E86" s="116" t="str">
        <f>VLOOKUP(B86,'Insumos e Serviços'!$A:$F,5,0)</f>
        <v>un</v>
      </c>
      <c r="F86" s="125">
        <v>1</v>
      </c>
      <c r="G86" s="118">
        <f>VLOOKUP(B86,'Insumos e Serviços'!$A:$F,6,0)</f>
        <v>398.54</v>
      </c>
      <c r="H86" s="118">
        <f t="shared" si="1"/>
        <v>398.54</v>
      </c>
    </row>
    <row r="87" spans="1:8" ht="13.5" thickTop="1">
      <c r="A87" s="119"/>
      <c r="B87" s="119"/>
      <c r="C87" s="119"/>
      <c r="D87" s="119"/>
      <c r="E87" s="119"/>
      <c r="F87" s="126"/>
      <c r="G87" s="119"/>
      <c r="H87" s="119"/>
    </row>
    <row r="88" spans="1:8" ht="22.5">
      <c r="A88" s="111" t="s">
        <v>696</v>
      </c>
      <c r="B88" s="112" t="str">
        <f>VLOOKUP(A88,'Orçamento Sintético'!$A:$H,2,0)</f>
        <v> MPDFT0048 </v>
      </c>
      <c r="C88" s="112" t="str">
        <f>VLOOKUP(A88,'Orçamento Sintético'!$A:$H,3,0)</f>
        <v>Próprio</v>
      </c>
      <c r="D88" s="113" t="str">
        <f>VLOOKUP(A88,'Orçamento Sintético'!$A:$H,4,0)</f>
        <v>Porta de madeira (PM1), DM 1,60 x 2,10 m, acabamento em laminado melamínico texturizado, inclusive dobradiça e fechadura</v>
      </c>
      <c r="E88" s="112" t="str">
        <f>VLOOKUP(A88,'Orçamento Sintético'!$A:$H,5,0)</f>
        <v>un</v>
      </c>
      <c r="F88" s="124"/>
      <c r="G88" s="114"/>
      <c r="H88" s="114">
        <f>SUM(H89:H95)</f>
        <v>2930.1800000000003</v>
      </c>
    </row>
    <row r="89" spans="1:8" ht="12.75">
      <c r="A89" s="115" t="str">
        <f>VLOOKUP(B89,'Insumos e Serviços'!$A:$F,3,0)</f>
        <v>Composição</v>
      </c>
      <c r="B89" s="116" t="s">
        <v>200</v>
      </c>
      <c r="C89" s="116" t="str">
        <f>VLOOKUP(B89,'Insumos e Serviços'!$A:$F,2,0)</f>
        <v>SINAPI</v>
      </c>
      <c r="D89" s="117" t="str">
        <f>VLOOKUP(B89,'Insumos e Serviços'!$A:$F,4,0)</f>
        <v>SERVENTE COM ENCARGOS COMPLEMENTARES</v>
      </c>
      <c r="E89" s="116" t="str">
        <f>VLOOKUP(B89,'Insumos e Serviços'!$A:$F,5,0)</f>
        <v>H</v>
      </c>
      <c r="F89" s="125">
        <v>0.501</v>
      </c>
      <c r="G89" s="118">
        <f>VLOOKUP(B89,'Insumos e Serviços'!$A:$F,6,0)</f>
        <v>18.65</v>
      </c>
      <c r="H89" s="118">
        <f aca="true" t="shared" si="2" ref="H89:H95">TRUNC(F89*G89,2)</f>
        <v>9.34</v>
      </c>
    </row>
    <row r="90" spans="1:8" ht="12.75">
      <c r="A90" s="115" t="str">
        <f>VLOOKUP(B90,'Insumos e Serviços'!$A:$F,3,0)</f>
        <v>Composição</v>
      </c>
      <c r="B90" s="116" t="s">
        <v>1043</v>
      </c>
      <c r="C90" s="116" t="str">
        <f>VLOOKUP(B90,'Insumos e Serviços'!$A:$F,2,0)</f>
        <v>SINAPI</v>
      </c>
      <c r="D90" s="117" t="str">
        <f>VLOOKUP(B90,'Insumos e Serviços'!$A:$F,4,0)</f>
        <v>CARPINTEIRO DE ESQUADRIA COM ENCARGOS COMPLEMENTARES</v>
      </c>
      <c r="E90" s="116" t="str">
        <f>VLOOKUP(B90,'Insumos e Serviços'!$A:$F,5,0)</f>
        <v>H</v>
      </c>
      <c r="F90" s="125">
        <v>1.002</v>
      </c>
      <c r="G90" s="118">
        <f>VLOOKUP(B90,'Insumos e Serviços'!$A:$F,6,0)</f>
        <v>23.82</v>
      </c>
      <c r="H90" s="118">
        <f t="shared" si="2"/>
        <v>23.86</v>
      </c>
    </row>
    <row r="91" spans="1:8" ht="33.75">
      <c r="A91" s="115" t="str">
        <f>VLOOKUP(B91,'Insumos e Serviços'!$A:$F,3,0)</f>
        <v>Composição</v>
      </c>
      <c r="B91" s="116" t="s">
        <v>1054</v>
      </c>
      <c r="C91" s="116" t="str">
        <f>VLOOKUP(B91,'Insumos e Serviços'!$A:$F,2,0)</f>
        <v>SINAPI</v>
      </c>
      <c r="D91" s="117" t="str">
        <f>VLOOKUP(B91,'Insumos e Serviços'!$A:$F,4,0)</f>
        <v>PORTA DE MADEIRA PARA VERNIZ, SEMI-OCA (LEVE OU MÉDIA), 80X210CM, ESPESSURA DE 3,5CM, INCLUSO DOBRADIÇAS - FORNECIMENTO E INSTALAÇÃO. AF_12/2019</v>
      </c>
      <c r="E91" s="116" t="str">
        <f>VLOOKUP(B91,'Insumos e Serviços'!$A:$F,5,0)</f>
        <v>UN</v>
      </c>
      <c r="F91" s="125">
        <v>2</v>
      </c>
      <c r="G91" s="118">
        <f>VLOOKUP(B91,'Insumos e Serviços'!$A:$F,6,0)</f>
        <v>419.01</v>
      </c>
      <c r="H91" s="118">
        <f t="shared" si="2"/>
        <v>838.02</v>
      </c>
    </row>
    <row r="92" spans="1:8" ht="12.75">
      <c r="A92" s="115" t="str">
        <f>VLOOKUP(B92,'Insumos e Serviços'!$A:$F,3,0)</f>
        <v>Composição</v>
      </c>
      <c r="B92" s="116" t="s">
        <v>1047</v>
      </c>
      <c r="C92" s="116" t="str">
        <f>VLOOKUP(B92,'Insumos e Serviços'!$A:$F,2,0)</f>
        <v>SINAPI</v>
      </c>
      <c r="D92" s="117" t="str">
        <f>VLOOKUP(B92,'Insumos e Serviços'!$A:$F,4,0)</f>
        <v>MARCENEIRO COM ENCARGOS COMPLEMENTARES</v>
      </c>
      <c r="E92" s="116" t="str">
        <f>VLOOKUP(B92,'Insumos e Serviços'!$A:$F,5,0)</f>
        <v>H</v>
      </c>
      <c r="F92" s="125">
        <v>5.7494</v>
      </c>
      <c r="G92" s="118">
        <f>VLOOKUP(B92,'Insumos e Serviços'!$A:$F,6,0)</f>
        <v>23.53</v>
      </c>
      <c r="H92" s="118">
        <f t="shared" si="2"/>
        <v>135.28</v>
      </c>
    </row>
    <row r="93" spans="1:8" ht="33.75">
      <c r="A93" s="115" t="str">
        <f>VLOOKUP(B93,'Insumos e Serviços'!$A:$F,3,0)</f>
        <v>Insumo</v>
      </c>
      <c r="B93" s="116" t="s">
        <v>1049</v>
      </c>
      <c r="C93" s="116" t="str">
        <f>VLOOKUP(B93,'Insumos e Serviços'!$A:$F,2,0)</f>
        <v>SINAPI</v>
      </c>
      <c r="D93" s="117" t="str">
        <f>VLOOKUP(B93,'Insumos e Serviços'!$A:$F,4,0)</f>
        <v>FECHADURA DE EMBUTIR PARA PORTA EXTERNA, MAQUINA 55 MM, COM CILINDRO, MACANETA ALAVANCA E ROSETA REDONDA EM METAL CROMADO - NIVEL DE SEGURANCA MEDIO - COMPLETA</v>
      </c>
      <c r="E93" s="116" t="str">
        <f>VLOOKUP(B93,'Insumos e Serviços'!$A:$F,5,0)</f>
        <v>CJ</v>
      </c>
      <c r="F93" s="125">
        <v>1.5</v>
      </c>
      <c r="G93" s="118">
        <f>VLOOKUP(B93,'Insumos e Serviços'!$A:$F,6,0)</f>
        <v>119.5</v>
      </c>
      <c r="H93" s="118">
        <f t="shared" si="2"/>
        <v>179.25</v>
      </c>
    </row>
    <row r="94" spans="1:8" ht="22.5">
      <c r="A94" s="115" t="str">
        <f>VLOOKUP(B94,'Insumos e Serviços'!$A:$F,3,0)</f>
        <v>Insumo</v>
      </c>
      <c r="B94" s="116" t="s">
        <v>438</v>
      </c>
      <c r="C94" s="116" t="str">
        <f>VLOOKUP(B94,'Insumos e Serviços'!$A:$F,2,0)</f>
        <v>Próprio</v>
      </c>
      <c r="D94" s="117" t="str">
        <f>VLOOKUP(B94,'Insumos e Serviços'!$A:$F,4,0)</f>
        <v>Laminado melamínico, acabamento texturizado, cor branca, espessura 1,3mm, referência L190, fab. Fórmica</v>
      </c>
      <c r="E94" s="116" t="str">
        <f>VLOOKUP(B94,'Insumos e Serviços'!$A:$F,5,0)</f>
        <v>m²</v>
      </c>
      <c r="F94" s="125">
        <v>12.55</v>
      </c>
      <c r="G94" s="118">
        <f>VLOOKUP(B94,'Insumos e Serviços'!$A:$F,6,0)</f>
        <v>116.86</v>
      </c>
      <c r="H94" s="118">
        <f t="shared" si="2"/>
        <v>1466.59</v>
      </c>
    </row>
    <row r="95" spans="1:8" ht="13.5" thickBot="1">
      <c r="A95" s="115" t="str">
        <f>VLOOKUP(B95,'Insumos e Serviços'!$A:$F,3,0)</f>
        <v>Insumo</v>
      </c>
      <c r="B95" s="116" t="s">
        <v>1052</v>
      </c>
      <c r="C95" s="116" t="str">
        <f>VLOOKUP(B95,'Insumos e Serviços'!$A:$F,2,0)</f>
        <v>SINAPI</v>
      </c>
      <c r="D95" s="117" t="str">
        <f>VLOOKUP(B95,'Insumos e Serviços'!$A:$F,4,0)</f>
        <v>COLA A BASE DE RESINA SINTETICA PARA CHAPA DE LAMINADO MELAMINICO</v>
      </c>
      <c r="E95" s="116" t="str">
        <f>VLOOKUP(B95,'Insumos e Serviços'!$A:$F,5,0)</f>
        <v>KG</v>
      </c>
      <c r="F95" s="125">
        <v>6.048</v>
      </c>
      <c r="G95" s="118">
        <f>VLOOKUP(B95,'Insumos e Serviços'!$A:$F,6,0)</f>
        <v>45.94</v>
      </c>
      <c r="H95" s="118">
        <f t="shared" si="2"/>
        <v>277.84</v>
      </c>
    </row>
    <row r="96" spans="1:8" ht="13.5" thickTop="1">
      <c r="A96" s="119"/>
      <c r="B96" s="119"/>
      <c r="C96" s="119"/>
      <c r="D96" s="119"/>
      <c r="E96" s="119"/>
      <c r="F96" s="126"/>
      <c r="G96" s="119"/>
      <c r="H96" s="119"/>
    </row>
    <row r="97" spans="1:8" ht="33.75">
      <c r="A97" s="111" t="s">
        <v>1</v>
      </c>
      <c r="B97" s="112" t="str">
        <f>VLOOKUP(A97,'Orçamento Sintético'!$A:$H,2,0)</f>
        <v> MPDFT1598 </v>
      </c>
      <c r="C97" s="112" t="str">
        <f>VLOOKUP(A97,'Orçamento Sintético'!$A:$H,3,0)</f>
        <v>Próprio</v>
      </c>
      <c r="D97" s="113" t="str">
        <f>VLOOKUP(A97,'Orçamento Sintético'!$A:$H,4,0)</f>
        <v>Portal / batente em chapa de aço carbono SAE 1006/1010, nº 16, dobrada conforme projeto, incluso tratamento com anticorrosivo e  pintura esmalte, Largura até 90cm, inclusive</v>
      </c>
      <c r="E97" s="112" t="str">
        <f>VLOOKUP(A97,'Orçamento Sintético'!$A:$H,5,0)</f>
        <v>un</v>
      </c>
      <c r="F97" s="124"/>
      <c r="G97" s="114"/>
      <c r="H97" s="114">
        <f>SUM(H98:H105)</f>
        <v>354.43</v>
      </c>
    </row>
    <row r="98" spans="1:8" ht="33.75">
      <c r="A98" s="115" t="str">
        <f>VLOOKUP(B98,'Insumos e Serviços'!$A:$F,3,0)</f>
        <v>Composição</v>
      </c>
      <c r="B98" s="116" t="s">
        <v>1056</v>
      </c>
      <c r="C98" s="116" t="str">
        <f>VLOOKUP(B98,'Insumos e Serviços'!$A:$F,2,0)</f>
        <v>SINAPI</v>
      </c>
      <c r="D98" s="117" t="str">
        <f>VLOOKUP(B98,'Insumos e Serviços'!$A:$F,4,0)</f>
        <v>PINTURA COM TINTA ALQUÍDICA DE ACABAMENTO (ESMALTE SINTÉTICO ACETINADO) PULVERIZADA SOBRE SUPERFÍCIES METÁLICAS (EXCETO PERFIL) EXECUTADO EM OBRA (02 DEMÃOS). AF_01/2020</v>
      </c>
      <c r="E98" s="116" t="str">
        <f>VLOOKUP(B98,'Insumos e Serviços'!$A:$F,5,0)</f>
        <v>m²</v>
      </c>
      <c r="F98" s="125">
        <v>1.581</v>
      </c>
      <c r="G98" s="118">
        <f>VLOOKUP(B98,'Insumos e Serviços'!$A:$F,6,0)</f>
        <v>45.23</v>
      </c>
      <c r="H98" s="118">
        <f aca="true" t="shared" si="3" ref="H98:H105">TRUNC(F98*G98,2)</f>
        <v>71.5</v>
      </c>
    </row>
    <row r="99" spans="1:8" ht="33.75">
      <c r="A99" s="115" t="str">
        <f>VLOOKUP(B99,'Insumos e Serviços'!$A:$F,3,0)</f>
        <v>Composição</v>
      </c>
      <c r="B99" s="116" t="s">
        <v>1058</v>
      </c>
      <c r="C99" s="116" t="str">
        <f>VLOOKUP(B99,'Insumos e Serviços'!$A:$F,2,0)</f>
        <v>SINAPI</v>
      </c>
      <c r="D99" s="117" t="str">
        <f>VLOOKUP(B99,'Insumos e Serviços'!$A:$F,4,0)</f>
        <v>PINTURA COM TINTA ALQUÍDICA DE FUNDO (TIPO ZARCÃO) PULVERIZADA SOBRE SUPERFÍCIES METÁLICAS (EXCETO PERFIL) EXECUTADO EM OBRA (POR DEMÃO). AF_01/2020</v>
      </c>
      <c r="E99" s="116" t="str">
        <f>VLOOKUP(B99,'Insumos e Serviços'!$A:$F,5,0)</f>
        <v>m²</v>
      </c>
      <c r="F99" s="125">
        <v>1.581</v>
      </c>
      <c r="G99" s="118">
        <f>VLOOKUP(B99,'Insumos e Serviços'!$A:$F,6,0)</f>
        <v>22.98</v>
      </c>
      <c r="H99" s="118">
        <f t="shared" si="3"/>
        <v>36.33</v>
      </c>
    </row>
    <row r="100" spans="1:8" ht="12.75">
      <c r="A100" s="115" t="str">
        <f>VLOOKUP(B100,'Insumos e Serviços'!$A:$F,3,0)</f>
        <v>Composição</v>
      </c>
      <c r="B100" s="116" t="s">
        <v>1043</v>
      </c>
      <c r="C100" s="116" t="str">
        <f>VLOOKUP(B100,'Insumos e Serviços'!$A:$F,2,0)</f>
        <v>SINAPI</v>
      </c>
      <c r="D100" s="117" t="str">
        <f>VLOOKUP(B100,'Insumos e Serviços'!$A:$F,4,0)</f>
        <v>CARPINTEIRO DE ESQUADRIA COM ENCARGOS COMPLEMENTARES</v>
      </c>
      <c r="E100" s="116" t="str">
        <f>VLOOKUP(B100,'Insumos e Serviços'!$A:$F,5,0)</f>
        <v>H</v>
      </c>
      <c r="F100" s="125">
        <v>0.552</v>
      </c>
      <c r="G100" s="118">
        <f>VLOOKUP(B100,'Insumos e Serviços'!$A:$F,6,0)</f>
        <v>23.82</v>
      </c>
      <c r="H100" s="118">
        <f t="shared" si="3"/>
        <v>13.14</v>
      </c>
    </row>
    <row r="101" spans="1:8" ht="12.75">
      <c r="A101" s="115" t="str">
        <f>VLOOKUP(B101,'Insumos e Serviços'!$A:$F,3,0)</f>
        <v>Composição</v>
      </c>
      <c r="B101" s="116" t="s">
        <v>200</v>
      </c>
      <c r="C101" s="116" t="str">
        <f>VLOOKUP(B101,'Insumos e Serviços'!$A:$F,2,0)</f>
        <v>SINAPI</v>
      </c>
      <c r="D101" s="117" t="str">
        <f>VLOOKUP(B101,'Insumos e Serviços'!$A:$F,4,0)</f>
        <v>SERVENTE COM ENCARGOS COMPLEMENTARES</v>
      </c>
      <c r="E101" s="116" t="str">
        <f>VLOOKUP(B101,'Insumos e Serviços'!$A:$F,5,0)</f>
        <v>H</v>
      </c>
      <c r="F101" s="125">
        <v>0.957</v>
      </c>
      <c r="G101" s="118">
        <f>VLOOKUP(B101,'Insumos e Serviços'!$A:$F,6,0)</f>
        <v>18.65</v>
      </c>
      <c r="H101" s="118">
        <f t="shared" si="3"/>
        <v>17.84</v>
      </c>
    </row>
    <row r="102" spans="1:8" ht="12.75">
      <c r="A102" s="115" t="str">
        <f>VLOOKUP(B102,'Insumos e Serviços'!$A:$F,3,0)</f>
        <v>Composição</v>
      </c>
      <c r="B102" s="116" t="s">
        <v>212</v>
      </c>
      <c r="C102" s="116" t="str">
        <f>VLOOKUP(B102,'Insumos e Serviços'!$A:$F,2,0)</f>
        <v>SINAPI</v>
      </c>
      <c r="D102" s="117" t="str">
        <f>VLOOKUP(B102,'Insumos e Serviços'!$A:$F,4,0)</f>
        <v>AUXILIAR DE SERRALHEIRO COM ENCARGOS COMPLEMENTARES</v>
      </c>
      <c r="E102" s="116" t="str">
        <f>VLOOKUP(B102,'Insumos e Serviços'!$A:$F,5,0)</f>
        <v>H</v>
      </c>
      <c r="F102" s="125">
        <v>1.57</v>
      </c>
      <c r="G102" s="118">
        <f>VLOOKUP(B102,'Insumos e Serviços'!$A:$F,6,0)</f>
        <v>19.82</v>
      </c>
      <c r="H102" s="118">
        <f t="shared" si="3"/>
        <v>31.11</v>
      </c>
    </row>
    <row r="103" spans="1:8" ht="12.75">
      <c r="A103" s="115" t="str">
        <f>VLOOKUP(B103,'Insumos e Serviços'!$A:$F,3,0)</f>
        <v>Composição</v>
      </c>
      <c r="B103" s="116" t="s">
        <v>210</v>
      </c>
      <c r="C103" s="116" t="str">
        <f>VLOOKUP(B103,'Insumos e Serviços'!$A:$F,2,0)</f>
        <v>SINAPI</v>
      </c>
      <c r="D103" s="117" t="str">
        <f>VLOOKUP(B103,'Insumos e Serviços'!$A:$F,4,0)</f>
        <v>PEDREIRO COM ENCARGOS COMPLEMENTARES</v>
      </c>
      <c r="E103" s="116" t="str">
        <f>VLOOKUP(B103,'Insumos e Serviços'!$A:$F,5,0)</f>
        <v>H</v>
      </c>
      <c r="F103" s="125">
        <v>1.362</v>
      </c>
      <c r="G103" s="118">
        <f>VLOOKUP(B103,'Insumos e Serviços'!$A:$F,6,0)</f>
        <v>25.09</v>
      </c>
      <c r="H103" s="118">
        <f t="shared" si="3"/>
        <v>34.17</v>
      </c>
    </row>
    <row r="104" spans="1:8" ht="12.75">
      <c r="A104" s="115" t="str">
        <f>VLOOKUP(B104,'Insumos e Serviços'!$A:$F,3,0)</f>
        <v>Insumo</v>
      </c>
      <c r="B104" s="116" t="s">
        <v>1061</v>
      </c>
      <c r="C104" s="116" t="str">
        <f>VLOOKUP(B104,'Insumos e Serviços'!$A:$F,2,0)</f>
        <v>SINAPI</v>
      </c>
      <c r="D104" s="117" t="str">
        <f>VLOOKUP(B104,'Insumos e Serviços'!$A:$F,4,0)</f>
        <v>CHAPA DE ACO FINA A QUENTE BITOLA MSG 16, E = 1,50 MM (12,00 KG/M2)</v>
      </c>
      <c r="E104" s="116" t="str">
        <f>VLOOKUP(B104,'Insumos e Serviços'!$A:$F,5,0)</f>
        <v>KG</v>
      </c>
      <c r="F104" s="125">
        <v>5.71</v>
      </c>
      <c r="G104" s="118">
        <f>VLOOKUP(B104,'Insumos e Serviços'!$A:$F,6,0)</f>
        <v>12.7</v>
      </c>
      <c r="H104" s="118">
        <f t="shared" si="3"/>
        <v>72.51</v>
      </c>
    </row>
    <row r="105" spans="1:8" ht="13.5" thickBot="1">
      <c r="A105" s="115" t="str">
        <f>VLOOKUP(B105,'Insumos e Serviços'!$A:$F,3,0)</f>
        <v>Insumo</v>
      </c>
      <c r="B105" s="116" t="s">
        <v>1063</v>
      </c>
      <c r="C105" s="116" t="str">
        <f>VLOOKUP(B105,'Insumos e Serviços'!$A:$F,2,0)</f>
        <v>SINAPI</v>
      </c>
      <c r="D105" s="117" t="str">
        <f>VLOOKUP(B105,'Insumos e Serviços'!$A:$F,4,0)</f>
        <v>ESPUMA EXPANSIVA DE POLIURETANO, APLICACAO MANUAL - 500 ML</v>
      </c>
      <c r="E105" s="116" t="str">
        <f>VLOOKUP(B105,'Insumos e Serviços'!$A:$F,5,0)</f>
        <v>UN</v>
      </c>
      <c r="F105" s="125">
        <v>2.66</v>
      </c>
      <c r="G105" s="118">
        <f>VLOOKUP(B105,'Insumos e Serviços'!$A:$F,6,0)</f>
        <v>29.26</v>
      </c>
      <c r="H105" s="118">
        <f t="shared" si="3"/>
        <v>77.83</v>
      </c>
    </row>
    <row r="106" spans="1:8" ht="13.5" thickTop="1">
      <c r="A106" s="119"/>
      <c r="B106" s="119"/>
      <c r="C106" s="119"/>
      <c r="D106" s="119"/>
      <c r="E106" s="119"/>
      <c r="F106" s="126"/>
      <c r="G106" s="119"/>
      <c r="H106" s="119"/>
    </row>
    <row r="107" spans="1:8" ht="12.75">
      <c r="A107" s="108" t="s">
        <v>4</v>
      </c>
      <c r="B107" s="109"/>
      <c r="C107" s="109"/>
      <c r="D107" s="108" t="str">
        <f>VLOOKUP(A107,'Orçamento Sintético'!$A:$H,4,0)</f>
        <v>Vidros e Plásticos</v>
      </c>
      <c r="E107" s="109"/>
      <c r="F107" s="123"/>
      <c r="G107" s="108"/>
      <c r="H107" s="110"/>
    </row>
    <row r="108" spans="1:8" ht="22.5">
      <c r="A108" s="111" t="s">
        <v>6</v>
      </c>
      <c r="B108" s="112" t="str">
        <f>VLOOKUP(A108,'Orçamento Sintético'!$A:$H,2,0)</f>
        <v> MPDFT1128 </v>
      </c>
      <c r="C108" s="112" t="str">
        <f>VLOOKUP(A108,'Orçamento Sintético'!$A:$H,3,0)</f>
        <v>Próprio</v>
      </c>
      <c r="D108" s="113" t="str">
        <f>VLOOKUP(A108,'Orçamento Sintético'!$A:$H,4,0)</f>
        <v>Cópia da Agesul (1801000120) - Espelho cristal 4mm, sem moldura fixado com parafuso e bucha</v>
      </c>
      <c r="E108" s="112" t="str">
        <f>VLOOKUP(A108,'Orçamento Sintético'!$A:$H,5,0)</f>
        <v>m²</v>
      </c>
      <c r="F108" s="124"/>
      <c r="G108" s="114"/>
      <c r="H108" s="114">
        <f>SUM(H109:H112)</f>
        <v>330.67</v>
      </c>
    </row>
    <row r="109" spans="1:8" ht="12.75">
      <c r="A109" s="115" t="str">
        <f>VLOOKUP(B109,'Insumos e Serviços'!$A:$F,3,0)</f>
        <v>Composição</v>
      </c>
      <c r="B109" s="116" t="s">
        <v>200</v>
      </c>
      <c r="C109" s="116" t="str">
        <f>VLOOKUP(B109,'Insumos e Serviços'!$A:$F,2,0)</f>
        <v>SINAPI</v>
      </c>
      <c r="D109" s="117" t="str">
        <f>VLOOKUP(B109,'Insumos e Serviços'!$A:$F,4,0)</f>
        <v>SERVENTE COM ENCARGOS COMPLEMENTARES</v>
      </c>
      <c r="E109" s="116" t="str">
        <f>VLOOKUP(B109,'Insumos e Serviços'!$A:$F,5,0)</f>
        <v>H</v>
      </c>
      <c r="F109" s="125">
        <v>0.4</v>
      </c>
      <c r="G109" s="118">
        <f>VLOOKUP(B109,'Insumos e Serviços'!$A:$F,6,0)</f>
        <v>18.65</v>
      </c>
      <c r="H109" s="118">
        <f>TRUNC(F109*G109,2)</f>
        <v>7.46</v>
      </c>
    </row>
    <row r="110" spans="1:8" ht="12.75">
      <c r="A110" s="115" t="str">
        <f>VLOOKUP(B110,'Insumos e Serviços'!$A:$F,3,0)</f>
        <v>Composição</v>
      </c>
      <c r="B110" s="116" t="s">
        <v>214</v>
      </c>
      <c r="C110" s="116" t="str">
        <f>VLOOKUP(B110,'Insumos e Serviços'!$A:$F,2,0)</f>
        <v>SINAPI</v>
      </c>
      <c r="D110" s="117" t="str">
        <f>VLOOKUP(B110,'Insumos e Serviços'!$A:$F,4,0)</f>
        <v>VIDRACEIRO COM ENCARGOS COMPLEMENTARES</v>
      </c>
      <c r="E110" s="116" t="str">
        <f>VLOOKUP(B110,'Insumos e Serviços'!$A:$F,5,0)</f>
        <v>H</v>
      </c>
      <c r="F110" s="125">
        <v>2</v>
      </c>
      <c r="G110" s="118">
        <f>VLOOKUP(B110,'Insumos e Serviços'!$A:$F,6,0)</f>
        <v>23.17</v>
      </c>
      <c r="H110" s="118">
        <f>TRUNC(F110*G110,2)</f>
        <v>46.34</v>
      </c>
    </row>
    <row r="111" spans="1:8" ht="12.75">
      <c r="A111" s="115" t="str">
        <f>VLOOKUP(B111,'Insumos e Serviços'!$A:$F,3,0)</f>
        <v>Insumo</v>
      </c>
      <c r="B111" s="116" t="s">
        <v>1066</v>
      </c>
      <c r="C111" s="116" t="str">
        <f>VLOOKUP(B111,'Insumos e Serviços'!$A:$F,2,0)</f>
        <v>SINAPI</v>
      </c>
      <c r="D111" s="117" t="str">
        <f>VLOOKUP(B111,'Insumos e Serviços'!$A:$F,4,0)</f>
        <v>ESPELHO CRISTAL E = 4 MM</v>
      </c>
      <c r="E111" s="116" t="str">
        <f>VLOOKUP(B111,'Insumos e Serviços'!$A:$F,5,0)</f>
        <v>m²</v>
      </c>
      <c r="F111" s="125">
        <v>1</v>
      </c>
      <c r="G111" s="118">
        <f>VLOOKUP(B111,'Insumos e Serviços'!$A:$F,6,0)</f>
        <v>260.67</v>
      </c>
      <c r="H111" s="118">
        <f>TRUNC(F111*G111,2)</f>
        <v>260.67</v>
      </c>
    </row>
    <row r="112" spans="1:8" ht="23.25" thickBot="1">
      <c r="A112" s="115" t="str">
        <f>VLOOKUP(B112,'Insumos e Serviços'!$A:$F,3,0)</f>
        <v>Insumo</v>
      </c>
      <c r="B112" s="116" t="s">
        <v>1068</v>
      </c>
      <c r="C112" s="116" t="str">
        <f>VLOOKUP(B112,'Insumos e Serviços'!$A:$F,2,0)</f>
        <v>SINAPI</v>
      </c>
      <c r="D112" s="117" t="str">
        <f>VLOOKUP(B112,'Insumos e Serviços'!$A:$F,4,0)</f>
        <v>PARAFUSO FRANCES M16 EM ACO GALVANIZADO, COMPRIMENTO = 45 MM, DIAMETRO = 16 MM, CABECA ABAULADA</v>
      </c>
      <c r="E112" s="116" t="str">
        <f>VLOOKUP(B112,'Insumos e Serviços'!$A:$F,5,0)</f>
        <v>UN</v>
      </c>
      <c r="F112" s="125">
        <v>4</v>
      </c>
      <c r="G112" s="118">
        <f>VLOOKUP(B112,'Insumos e Serviços'!$A:$F,6,0)</f>
        <v>4.05</v>
      </c>
      <c r="H112" s="118">
        <f>TRUNC(F112*G112,2)</f>
        <v>16.2</v>
      </c>
    </row>
    <row r="113" spans="1:8" ht="13.5" thickTop="1">
      <c r="A113" s="119"/>
      <c r="B113" s="119"/>
      <c r="C113" s="119"/>
      <c r="D113" s="119"/>
      <c r="E113" s="119"/>
      <c r="F113" s="126"/>
      <c r="G113" s="119"/>
      <c r="H113" s="119"/>
    </row>
    <row r="114" spans="1:8" ht="22.5">
      <c r="A114" s="111" t="s">
        <v>10</v>
      </c>
      <c r="B114" s="112" t="str">
        <f>VLOOKUP(A114,'Orçamento Sintético'!$A:$H,2,0)</f>
        <v> MPDFT0869 </v>
      </c>
      <c r="C114" s="112" t="str">
        <f>VLOOKUP(A114,'Orçamento Sintético'!$A:$H,3,0)</f>
        <v>Próprio</v>
      </c>
      <c r="D114" s="113" t="str">
        <f>VLOOKUP(A114,'Orçamento Sintético'!$A:$H,4,0)</f>
        <v>Copia da SINAPI (72120) - Recolocação de vidro laminado / temperado, inclusive massa / silicone</v>
      </c>
      <c r="E114" s="112" t="str">
        <f>VLOOKUP(A114,'Orçamento Sintético'!$A:$H,5,0)</f>
        <v>m²</v>
      </c>
      <c r="F114" s="124"/>
      <c r="G114" s="114"/>
      <c r="H114" s="114">
        <f>SUM(H115:H116)</f>
        <v>20.9</v>
      </c>
    </row>
    <row r="115" spans="1:8" ht="12.75">
      <c r="A115" s="115" t="str">
        <f>VLOOKUP(B115,'Insumos e Serviços'!$A:$F,3,0)</f>
        <v>Composição</v>
      </c>
      <c r="B115" s="116" t="s">
        <v>200</v>
      </c>
      <c r="C115" s="116" t="str">
        <f>VLOOKUP(B115,'Insumos e Serviços'!$A:$F,2,0)</f>
        <v>SINAPI</v>
      </c>
      <c r="D115" s="117" t="str">
        <f>VLOOKUP(B115,'Insumos e Serviços'!$A:$F,4,0)</f>
        <v>SERVENTE COM ENCARGOS COMPLEMENTARES</v>
      </c>
      <c r="E115" s="116" t="str">
        <f>VLOOKUP(B115,'Insumos e Serviços'!$A:$F,5,0)</f>
        <v>H</v>
      </c>
      <c r="F115" s="125">
        <v>0.5</v>
      </c>
      <c r="G115" s="118">
        <f>VLOOKUP(B115,'Insumos e Serviços'!$A:$F,6,0)</f>
        <v>18.65</v>
      </c>
      <c r="H115" s="118">
        <f>TRUNC(F115*G115,2)</f>
        <v>9.32</v>
      </c>
    </row>
    <row r="116" spans="1:8" ht="13.5" thickBot="1">
      <c r="A116" s="115" t="str">
        <f>VLOOKUP(B116,'Insumos e Serviços'!$A:$F,3,0)</f>
        <v>Composição</v>
      </c>
      <c r="B116" s="116" t="s">
        <v>214</v>
      </c>
      <c r="C116" s="116" t="str">
        <f>VLOOKUP(B116,'Insumos e Serviços'!$A:$F,2,0)</f>
        <v>SINAPI</v>
      </c>
      <c r="D116" s="117" t="str">
        <f>VLOOKUP(B116,'Insumos e Serviços'!$A:$F,4,0)</f>
        <v>VIDRACEIRO COM ENCARGOS COMPLEMENTARES</v>
      </c>
      <c r="E116" s="116" t="str">
        <f>VLOOKUP(B116,'Insumos e Serviços'!$A:$F,5,0)</f>
        <v>H</v>
      </c>
      <c r="F116" s="125">
        <v>0.5</v>
      </c>
      <c r="G116" s="118">
        <f>VLOOKUP(B116,'Insumos e Serviços'!$A:$F,6,0)</f>
        <v>23.17</v>
      </c>
      <c r="H116" s="118">
        <f>TRUNC(F116*G116,2)</f>
        <v>11.58</v>
      </c>
    </row>
    <row r="117" spans="1:8" ht="13.5" thickTop="1">
      <c r="A117" s="119"/>
      <c r="B117" s="119"/>
      <c r="C117" s="119"/>
      <c r="D117" s="119"/>
      <c r="E117" s="119"/>
      <c r="F117" s="126"/>
      <c r="G117" s="119"/>
      <c r="H117" s="119"/>
    </row>
    <row r="118" spans="1:8" ht="12.75">
      <c r="A118" s="108" t="s">
        <v>13</v>
      </c>
      <c r="B118" s="109"/>
      <c r="C118" s="109"/>
      <c r="D118" s="108" t="str">
        <f>VLOOKUP(A118,'Orçamento Sintético'!$A:$H,4,0)</f>
        <v>Revestimentos de pisos</v>
      </c>
      <c r="E118" s="109"/>
      <c r="F118" s="123"/>
      <c r="G118" s="108"/>
      <c r="H118" s="110"/>
    </row>
    <row r="119" spans="1:8" ht="33.75">
      <c r="A119" s="111" t="s">
        <v>15</v>
      </c>
      <c r="B119" s="112" t="str">
        <f>VLOOKUP(A119,'Orçamento Sintético'!$A:$H,2,0)</f>
        <v> MPDFT0029 </v>
      </c>
      <c r="C119" s="112" t="str">
        <f>VLOOKUP(A119,'Orçamento Sintético'!$A:$H,3,0)</f>
        <v>Próprio</v>
      </c>
      <c r="D119" s="113" t="str">
        <f>VLOOKUP(A119,'Orçamento Sintético'!$A:$H,4,0)</f>
        <v>Copia da SINAPI (87640) - Regularização / preparação de superfície horizontal com argamassa, traço 1:3 (cimento e areia), preparo mecânico, espessura média 4cm</v>
      </c>
      <c r="E119" s="112" t="str">
        <f>VLOOKUP(A119,'Orçamento Sintético'!$A:$H,5,0)</f>
        <v>m²</v>
      </c>
      <c r="F119" s="124"/>
      <c r="G119" s="114"/>
      <c r="H119" s="114">
        <f>SUM(H120:H124)</f>
        <v>51.650000000000006</v>
      </c>
    </row>
    <row r="120" spans="1:8" ht="12.75">
      <c r="A120" s="115" t="str">
        <f>VLOOKUP(B120,'Insumos e Serviços'!$A:$F,3,0)</f>
        <v>Composição</v>
      </c>
      <c r="B120" s="116" t="s">
        <v>210</v>
      </c>
      <c r="C120" s="116" t="str">
        <f>VLOOKUP(B120,'Insumos e Serviços'!$A:$F,2,0)</f>
        <v>SINAPI</v>
      </c>
      <c r="D120" s="117" t="str">
        <f>VLOOKUP(B120,'Insumos e Serviços'!$A:$F,4,0)</f>
        <v>PEDREIRO COM ENCARGOS COMPLEMENTARES</v>
      </c>
      <c r="E120" s="116" t="str">
        <f>VLOOKUP(B120,'Insumos e Serviços'!$A:$F,5,0)</f>
        <v>H</v>
      </c>
      <c r="F120" s="125">
        <v>0.36</v>
      </c>
      <c r="G120" s="118">
        <f>VLOOKUP(B120,'Insumos e Serviços'!$A:$F,6,0)</f>
        <v>25.09</v>
      </c>
      <c r="H120" s="118">
        <f>TRUNC(F120*G120,2)</f>
        <v>9.03</v>
      </c>
    </row>
    <row r="121" spans="1:8" ht="12.75">
      <c r="A121" s="115" t="str">
        <f>VLOOKUP(B121,'Insumos e Serviços'!$A:$F,3,0)</f>
        <v>Composição</v>
      </c>
      <c r="B121" s="116" t="s">
        <v>200</v>
      </c>
      <c r="C121" s="116" t="str">
        <f>VLOOKUP(B121,'Insumos e Serviços'!$A:$F,2,0)</f>
        <v>SINAPI</v>
      </c>
      <c r="D121" s="117" t="str">
        <f>VLOOKUP(B121,'Insumos e Serviços'!$A:$F,4,0)</f>
        <v>SERVENTE COM ENCARGOS COMPLEMENTARES</v>
      </c>
      <c r="E121" s="116" t="str">
        <f>VLOOKUP(B121,'Insumos e Serviços'!$A:$F,5,0)</f>
        <v>H</v>
      </c>
      <c r="F121" s="125">
        <v>0.18</v>
      </c>
      <c r="G121" s="118">
        <f>VLOOKUP(B121,'Insumos e Serviços'!$A:$F,6,0)</f>
        <v>18.65</v>
      </c>
      <c r="H121" s="118">
        <f>TRUNC(F121*G121,2)</f>
        <v>3.35</v>
      </c>
    </row>
    <row r="122" spans="1:8" ht="22.5">
      <c r="A122" s="115" t="str">
        <f>VLOOKUP(B122,'Insumos e Serviços'!$A:$F,3,0)</f>
        <v>Composição</v>
      </c>
      <c r="B122" s="116" t="s">
        <v>231</v>
      </c>
      <c r="C122" s="116" t="str">
        <f>VLOOKUP(B122,'Insumos e Serviços'!$A:$F,2,0)</f>
        <v>SINAPI</v>
      </c>
      <c r="D122" s="117" t="str">
        <f>VLOOKUP(B122,'Insumos e Serviços'!$A:$F,4,0)</f>
        <v>ARGAMASSA TRAÇO 1:3 (EM VOLUME DE CIMENTO E AREIA MÉDIA ÚMIDA) PARA CONTRAPISO, PREPARO MECÂNICO COM BETONEIRA 400 L. AF_08/2019</v>
      </c>
      <c r="E122" s="116" t="str">
        <f>VLOOKUP(B122,'Insumos e Serviços'!$A:$F,5,0)</f>
        <v>m³</v>
      </c>
      <c r="F122" s="125">
        <v>0.053</v>
      </c>
      <c r="G122" s="118">
        <f>VLOOKUP(B122,'Insumos e Serviços'!$A:$F,6,0)</f>
        <v>631.86</v>
      </c>
      <c r="H122" s="118">
        <f>TRUNC(F122*G122,2)</f>
        <v>33.48</v>
      </c>
    </row>
    <row r="123" spans="1:8" ht="12.75">
      <c r="A123" s="115" t="str">
        <f>VLOOKUP(B123,'Insumos e Serviços'!$A:$F,3,0)</f>
        <v>Insumo</v>
      </c>
      <c r="B123" s="116" t="s">
        <v>237</v>
      </c>
      <c r="C123" s="116" t="str">
        <f>VLOOKUP(B123,'Insumos e Serviços'!$A:$F,2,0)</f>
        <v>SINAPI</v>
      </c>
      <c r="D123" s="117" t="str">
        <f>VLOOKUP(B123,'Insumos e Serviços'!$A:$F,4,0)</f>
        <v>CIMENTO PORTLAND COMPOSTO CP II-32</v>
      </c>
      <c r="E123" s="116" t="str">
        <f>VLOOKUP(B123,'Insumos e Serviços'!$A:$F,5,0)</f>
        <v>KG</v>
      </c>
      <c r="F123" s="125">
        <v>0.5</v>
      </c>
      <c r="G123" s="118">
        <f>VLOOKUP(B123,'Insumos e Serviços'!$A:$F,6,0)</f>
        <v>0.62</v>
      </c>
      <c r="H123" s="118">
        <f>TRUNC(F123*G123,2)</f>
        <v>0.31</v>
      </c>
    </row>
    <row r="124" spans="1:8" ht="23.25" thickBot="1">
      <c r="A124" s="115" t="str">
        <f>VLOOKUP(B124,'Insumos e Serviços'!$A:$F,3,0)</f>
        <v>Insumo</v>
      </c>
      <c r="B124" s="116" t="s">
        <v>226</v>
      </c>
      <c r="C124" s="116" t="str">
        <f>VLOOKUP(B124,'Insumos e Serviços'!$A:$F,2,0)</f>
        <v>SINAPI</v>
      </c>
      <c r="D124" s="117" t="str">
        <f>VLOOKUP(B124,'Insumos e Serviços'!$A:$F,4,0)</f>
        <v>ADITIVO ADESIVO LIQUIDO PARA ARGAMASSAS DE REVESTIMENTOS CIMENTICIOS</v>
      </c>
      <c r="E124" s="116" t="str">
        <f>VLOOKUP(B124,'Insumos e Serviços'!$A:$F,5,0)</f>
        <v>L</v>
      </c>
      <c r="F124" s="125">
        <v>0.435</v>
      </c>
      <c r="G124" s="118">
        <f>VLOOKUP(B124,'Insumos e Serviços'!$A:$F,6,0)</f>
        <v>12.6</v>
      </c>
      <c r="H124" s="118">
        <f>TRUNC(F124*G124,2)</f>
        <v>5.48</v>
      </c>
    </row>
    <row r="125" spans="1:8" ht="13.5" thickTop="1">
      <c r="A125" s="119"/>
      <c r="B125" s="119"/>
      <c r="C125" s="119"/>
      <c r="D125" s="119"/>
      <c r="E125" s="119"/>
      <c r="F125" s="126"/>
      <c r="G125" s="119"/>
      <c r="H125" s="119"/>
    </row>
    <row r="126" spans="1:8" ht="22.5">
      <c r="A126" s="111" t="s">
        <v>18</v>
      </c>
      <c r="B126" s="112" t="str">
        <f>VLOOKUP(A126,'Orçamento Sintético'!$A:$H,2,0)</f>
        <v> MPDFT0140 </v>
      </c>
      <c r="C126" s="112" t="str">
        <f>VLOOKUP(A126,'Orçamento Sintético'!$A:$H,3,0)</f>
        <v>Próprio</v>
      </c>
      <c r="D126" s="113" t="str">
        <f>VLOOKUP(A126,'Orçamento Sintético'!$A:$H,4,0)</f>
        <v>Sóculo sob bancadas das copas, sanitários e lixo, altura de 15 cm e profundidade de 60 cm</v>
      </c>
      <c r="E126" s="112" t="str">
        <f>VLOOKUP(A126,'Orçamento Sintético'!$A:$H,5,0)</f>
        <v>m</v>
      </c>
      <c r="F126" s="124"/>
      <c r="G126" s="114"/>
      <c r="H126" s="114">
        <f>SUM(H127:H130)</f>
        <v>72.38</v>
      </c>
    </row>
    <row r="127" spans="1:8" ht="33.75">
      <c r="A127" s="115" t="str">
        <f>VLOOKUP(B127,'Insumos e Serviços'!$A:$F,3,0)</f>
        <v>Composição</v>
      </c>
      <c r="B127" s="116" t="s">
        <v>288</v>
      </c>
      <c r="C127" s="116" t="str">
        <f>VLOOKUP(B127,'Insumos e Serviços'!$A:$F,2,0)</f>
        <v>SINAPI</v>
      </c>
      <c r="D127" s="117" t="str">
        <f>VLOOKUP(B127,'Insumos e Serviços'!$A:$F,4,0)</f>
        <v>CHAPISCO APLICADO EM ALVENARIAS E ESTRUTURAS DE CONCRETO INTERNAS, COM COLHER DE PEDREIRO.  ARGAMASSA TRAÇO 1:3 COM PREPARO EM BETONEIRA 400L. AF_06/2014</v>
      </c>
      <c r="E127" s="116" t="str">
        <f>VLOOKUP(B127,'Insumos e Serviços'!$A:$F,5,0)</f>
        <v>m²</v>
      </c>
      <c r="F127" s="125">
        <v>0.165</v>
      </c>
      <c r="G127" s="118">
        <f>VLOOKUP(B127,'Insumos e Serviços'!$A:$F,6,0)</f>
        <v>3.94</v>
      </c>
      <c r="H127" s="118">
        <f>TRUNC(F127*G127,2)</f>
        <v>0.65</v>
      </c>
    </row>
    <row r="128" spans="1:8" ht="45">
      <c r="A128" s="115" t="str">
        <f>VLOOKUP(B128,'Insumos e Serviços'!$A:$F,3,0)</f>
        <v>Composição</v>
      </c>
      <c r="B128" s="116" t="s">
        <v>185</v>
      </c>
      <c r="C128" s="116" t="str">
        <f>VLOOKUP(B128,'Insumos e Serviços'!$A:$F,2,0)</f>
        <v>SINAPI</v>
      </c>
      <c r="D128" s="117" t="str">
        <f>VLOOKUP(B128,'Insumos e Serviços'!$A:$F,4,0)</f>
        <v>(COMPOSIÇÃO REPRESENTATIVA) DO SERVIÇO DE EMBOÇO/MASSA ÚNICA, APLICADO MANUALMENTE, TRAÇO 1:2:8, EM BETONEIRA DE 400L, PAREDES INTERNAS, COM EXECUÇÃO DE TALISCAS, EDIFICAÇÃO HABITACIONAL UNIFAMILIAR (CASAS) E EDIFICAÇÃO PÚBLICA PADRÃO. AF_12/2014</v>
      </c>
      <c r="E128" s="116" t="str">
        <f>VLOOKUP(B128,'Insumos e Serviços'!$A:$F,5,0)</f>
        <v>m²</v>
      </c>
      <c r="F128" s="125">
        <v>0.165</v>
      </c>
      <c r="G128" s="118">
        <f>VLOOKUP(B128,'Insumos e Serviços'!$A:$F,6,0)</f>
        <v>35.96</v>
      </c>
      <c r="H128" s="118">
        <f>TRUNC(F128*G128,2)</f>
        <v>5.93</v>
      </c>
    </row>
    <row r="129" spans="1:8" ht="12.75">
      <c r="A129" s="115" t="str">
        <f>VLOOKUP(B129,'Insumos e Serviços'!$A:$F,3,0)</f>
        <v>Composição</v>
      </c>
      <c r="B129" s="116" t="s">
        <v>1071</v>
      </c>
      <c r="C129" s="116" t="str">
        <f>VLOOKUP(B129,'Insumos e Serviços'!$A:$F,2,0)</f>
        <v>SINAPI</v>
      </c>
      <c r="D129" s="117" t="str">
        <f>VLOOKUP(B129,'Insumos e Serviços'!$A:$F,4,0)</f>
        <v>LASTRO DE CONCRETO MAGRO, APLICADO EM PISOS OU RADIERS. AF_08/2017</v>
      </c>
      <c r="E129" s="116" t="str">
        <f>VLOOKUP(B129,'Insumos e Serviços'!$A:$F,5,0)</f>
        <v>m³</v>
      </c>
      <c r="F129" s="125">
        <v>0.07</v>
      </c>
      <c r="G129" s="118">
        <f>VLOOKUP(B129,'Insumos e Serviços'!$A:$F,6,0)</f>
        <v>630.39</v>
      </c>
      <c r="H129" s="118">
        <f>TRUNC(F129*G129,2)</f>
        <v>44.12</v>
      </c>
    </row>
    <row r="130" spans="1:8" ht="34.5" thickBot="1">
      <c r="A130" s="115" t="str">
        <f>VLOOKUP(B130,'Insumos e Serviços'!$A:$F,3,0)</f>
        <v>Composição</v>
      </c>
      <c r="B130" s="116" t="s">
        <v>184</v>
      </c>
      <c r="C130" s="116" t="str">
        <f>VLOOKUP(B130,'Insumos e Serviços'!$A:$F,2,0)</f>
        <v>SINAPI</v>
      </c>
      <c r="D130" s="117" t="str">
        <f>VLOOKUP(B130,'Insumos e Serviços'!$A:$F,4,0)</f>
        <v>ALVENARIA DE VEDAÇÃO DE BLOCOS CERÂMICOS MACIÇOS DE 5X10X20CM (ESPESSURA 10CM) E ARGAMASSA DE ASSENTAMENTO COM PREPARO EM BETONEIRA. AF_05/2020</v>
      </c>
      <c r="E130" s="116" t="str">
        <f>VLOOKUP(B130,'Insumos e Serviços'!$A:$F,5,0)</f>
        <v>m²</v>
      </c>
      <c r="F130" s="125">
        <v>0.165</v>
      </c>
      <c r="G130" s="118">
        <f>VLOOKUP(B130,'Insumos e Serviços'!$A:$F,6,0)</f>
        <v>131.45</v>
      </c>
      <c r="H130" s="118">
        <f>TRUNC(F130*G130,2)</f>
        <v>21.68</v>
      </c>
    </row>
    <row r="131" spans="1:8" ht="13.5" thickTop="1">
      <c r="A131" s="119"/>
      <c r="B131" s="119"/>
      <c r="C131" s="119"/>
      <c r="D131" s="119"/>
      <c r="E131" s="119"/>
      <c r="F131" s="126"/>
      <c r="G131" s="119"/>
      <c r="H131" s="119"/>
    </row>
    <row r="132" spans="1:8" ht="33.75">
      <c r="A132" s="111" t="s">
        <v>21</v>
      </c>
      <c r="B132" s="112" t="str">
        <f>VLOOKUP(A132,'Orçamento Sintético'!$A:$H,2,0)</f>
        <v> MPDFT0850 </v>
      </c>
      <c r="C132" s="112" t="str">
        <f>VLOOKUP(A132,'Orçamento Sintético'!$A:$H,3,0)</f>
        <v>Próprio</v>
      </c>
      <c r="D132" s="113" t="str">
        <f>VLOOKUP(A132,'Orçamento Sintético'!$A:$H,4,0)</f>
        <v>Cóipa SINAPI (72183+72137) - Piso em concreto estrutural de 25MPa, acabamento desempenado, espessura de 10cm, armado com tela soldada Q196 barra 5mm</v>
      </c>
      <c r="E132" s="112" t="str">
        <f>VLOOKUP(A132,'Orçamento Sintético'!$A:$H,5,0)</f>
        <v>m²</v>
      </c>
      <c r="F132" s="124"/>
      <c r="G132" s="114"/>
      <c r="H132" s="114">
        <f>SUM(H133:H143)</f>
        <v>155.33</v>
      </c>
    </row>
    <row r="133" spans="1:8" ht="22.5">
      <c r="A133" s="115" t="str">
        <f>VLOOKUP(B133,'Insumos e Serviços'!$A:$F,3,0)</f>
        <v>Composição</v>
      </c>
      <c r="B133" s="116" t="s">
        <v>1073</v>
      </c>
      <c r="C133" s="116" t="str">
        <f>VLOOKUP(B133,'Insumos e Serviços'!$A:$F,2,0)</f>
        <v>SINAPI</v>
      </c>
      <c r="D133" s="117" t="str">
        <f>VLOOKUP(B133,'Insumos e Serviços'!$A:$F,4,0)</f>
        <v>VIBRADOR DE IMERSÃO, DIÂMETRO DE PONTEIRA 45MM, MOTOR ELÉTRICO TRIFÁSICO POTÊNCIA DE 2 CV - CHP DIURNO. AF_06/2015</v>
      </c>
      <c r="E133" s="116" t="str">
        <f>VLOOKUP(B133,'Insumos e Serviços'!$A:$F,5,0)</f>
        <v>CHP</v>
      </c>
      <c r="F133" s="125">
        <v>0.0079</v>
      </c>
      <c r="G133" s="118">
        <f>VLOOKUP(B133,'Insumos e Serviços'!$A:$F,6,0)</f>
        <v>1.24</v>
      </c>
      <c r="H133" s="118">
        <f aca="true" t="shared" si="4" ref="H133:H143">TRUNC(F133*G133,2)</f>
        <v>0</v>
      </c>
    </row>
    <row r="134" spans="1:8" ht="22.5">
      <c r="A134" s="115" t="str">
        <f>VLOOKUP(B134,'Insumos e Serviços'!$A:$F,3,0)</f>
        <v>Composição</v>
      </c>
      <c r="B134" s="116" t="s">
        <v>1075</v>
      </c>
      <c r="C134" s="116" t="str">
        <f>VLOOKUP(B134,'Insumos e Serviços'!$A:$F,2,0)</f>
        <v>SINAPI</v>
      </c>
      <c r="D134" s="117" t="str">
        <f>VLOOKUP(B134,'Insumos e Serviços'!$A:$F,4,0)</f>
        <v>VIBRADOR DE IMERSÃO, DIÂMETRO DE PONTEIRA 45MM, MOTOR ELÉTRICO TRIFÁSICO POTÊNCIA DE 2 CV - CHI DIURNO. AF_06/2015</v>
      </c>
      <c r="E134" s="116" t="str">
        <f>VLOOKUP(B134,'Insumos e Serviços'!$A:$F,5,0)</f>
        <v>CHI</v>
      </c>
      <c r="F134" s="125">
        <v>0.0079</v>
      </c>
      <c r="G134" s="118">
        <f>VLOOKUP(B134,'Insumos e Serviços'!$A:$F,6,0)</f>
        <v>0.49</v>
      </c>
      <c r="H134" s="118">
        <f t="shared" si="4"/>
        <v>0</v>
      </c>
    </row>
    <row r="135" spans="1:8" ht="12.75">
      <c r="A135" s="115" t="str">
        <f>VLOOKUP(B135,'Insumos e Serviços'!$A:$F,3,0)</f>
        <v>Composição</v>
      </c>
      <c r="B135" s="116" t="s">
        <v>210</v>
      </c>
      <c r="C135" s="116" t="str">
        <f>VLOOKUP(B135,'Insumos e Serviços'!$A:$F,2,0)</f>
        <v>SINAPI</v>
      </c>
      <c r="D135" s="117" t="str">
        <f>VLOOKUP(B135,'Insumos e Serviços'!$A:$F,4,0)</f>
        <v>PEDREIRO COM ENCARGOS COMPLEMENTARES</v>
      </c>
      <c r="E135" s="116" t="str">
        <f>VLOOKUP(B135,'Insumos e Serviços'!$A:$F,5,0)</f>
        <v>H</v>
      </c>
      <c r="F135" s="125">
        <v>0.4457</v>
      </c>
      <c r="G135" s="118">
        <f>VLOOKUP(B135,'Insumos e Serviços'!$A:$F,6,0)</f>
        <v>25.09</v>
      </c>
      <c r="H135" s="118">
        <f t="shared" si="4"/>
        <v>11.18</v>
      </c>
    </row>
    <row r="136" spans="1:8" ht="12.75">
      <c r="A136" s="115" t="str">
        <f>VLOOKUP(B136,'Insumos e Serviços'!$A:$F,3,0)</f>
        <v>Composição</v>
      </c>
      <c r="B136" s="116" t="s">
        <v>200</v>
      </c>
      <c r="C136" s="116" t="str">
        <f>VLOOKUP(B136,'Insumos e Serviços'!$A:$F,2,0)</f>
        <v>SINAPI</v>
      </c>
      <c r="D136" s="117" t="str">
        <f>VLOOKUP(B136,'Insumos e Serviços'!$A:$F,4,0)</f>
        <v>SERVENTE COM ENCARGOS COMPLEMENTARES</v>
      </c>
      <c r="E136" s="116" t="str">
        <f>VLOOKUP(B136,'Insumos e Serviços'!$A:$F,5,0)</f>
        <v>H</v>
      </c>
      <c r="F136" s="125">
        <v>1.1836</v>
      </c>
      <c r="G136" s="118">
        <f>VLOOKUP(B136,'Insumos e Serviços'!$A:$F,6,0)</f>
        <v>18.65</v>
      </c>
      <c r="H136" s="118">
        <f t="shared" si="4"/>
        <v>22.07</v>
      </c>
    </row>
    <row r="137" spans="1:8" ht="12.75">
      <c r="A137" s="115" t="str">
        <f>VLOOKUP(B137,'Insumos e Serviços'!$A:$F,3,0)</f>
        <v>Composição</v>
      </c>
      <c r="B137" s="116" t="s">
        <v>1077</v>
      </c>
      <c r="C137" s="116" t="str">
        <f>VLOOKUP(B137,'Insumos e Serviços'!$A:$F,2,0)</f>
        <v>SINAPI</v>
      </c>
      <c r="D137" s="117" t="str">
        <f>VLOOKUP(B137,'Insumos e Serviços'!$A:$F,4,0)</f>
        <v>ARMADOR COM ENCARGOS COMPLEMENTARES</v>
      </c>
      <c r="E137" s="116" t="str">
        <f>VLOOKUP(B137,'Insumos e Serviços'!$A:$F,5,0)</f>
        <v>H</v>
      </c>
      <c r="F137" s="125">
        <v>0.02</v>
      </c>
      <c r="G137" s="118">
        <f>VLOOKUP(B137,'Insumos e Serviços'!$A:$F,6,0)</f>
        <v>24.95</v>
      </c>
      <c r="H137" s="118">
        <f t="shared" si="4"/>
        <v>0.49</v>
      </c>
    </row>
    <row r="138" spans="1:8" ht="22.5">
      <c r="A138" s="115" t="str">
        <f>VLOOKUP(B138,'Insumos e Serviços'!$A:$F,3,0)</f>
        <v>Composição</v>
      </c>
      <c r="B138" s="116" t="s">
        <v>220</v>
      </c>
      <c r="C138" s="116" t="str">
        <f>VLOOKUP(B138,'Insumos e Serviços'!$A:$F,2,0)</f>
        <v>SINAPI</v>
      </c>
      <c r="D138" s="117" t="str">
        <f>VLOOKUP(B138,'Insumos e Serviços'!$A:$F,4,0)</f>
        <v>EXECUÇÃO DE JUNTAS DE CONTRAÇÃO PARA PAVIMENTOS DE CONCRETO. AF_11/2017</v>
      </c>
      <c r="E138" s="116" t="str">
        <f>VLOOKUP(B138,'Insumos e Serviços'!$A:$F,5,0)</f>
        <v>M</v>
      </c>
      <c r="F138" s="125">
        <v>2</v>
      </c>
      <c r="G138" s="118">
        <f>VLOOKUP(B138,'Insumos e Serviços'!$A:$F,6,0)</f>
        <v>0.4</v>
      </c>
      <c r="H138" s="118">
        <f t="shared" si="4"/>
        <v>0.8</v>
      </c>
    </row>
    <row r="139" spans="1:8" ht="22.5">
      <c r="A139" s="115" t="str">
        <f>VLOOKUP(B139,'Insumos e Serviços'!$A:$F,3,0)</f>
        <v>Composição</v>
      </c>
      <c r="B139" s="116" t="s">
        <v>1080</v>
      </c>
      <c r="C139" s="116" t="str">
        <f>VLOOKUP(B139,'Insumos e Serviços'!$A:$F,2,0)</f>
        <v>SINAPI</v>
      </c>
      <c r="D139" s="117" t="str">
        <f>VLOOKUP(B139,'Insumos e Serviços'!$A:$F,4,0)</f>
        <v>APLICAÇÃO DE GRAXA EM BARRAS DE TRANSFERÊNCIA PARA EXECUÇÃO DE PAVIMENTO DE CONCRETO. AF_11/2017</v>
      </c>
      <c r="E139" s="116" t="str">
        <f>VLOOKUP(B139,'Insumos e Serviços'!$A:$F,5,0)</f>
        <v>KG</v>
      </c>
      <c r="F139" s="125">
        <v>0.0212</v>
      </c>
      <c r="G139" s="118">
        <f>VLOOKUP(B139,'Insumos e Serviços'!$A:$F,6,0)</f>
        <v>59.56</v>
      </c>
      <c r="H139" s="118">
        <f t="shared" si="4"/>
        <v>1.26</v>
      </c>
    </row>
    <row r="140" spans="1:8" ht="22.5">
      <c r="A140" s="115" t="str">
        <f>VLOOKUP(B140,'Insumos e Serviços'!$A:$F,3,0)</f>
        <v>Insumo</v>
      </c>
      <c r="B140" s="116" t="s">
        <v>1082</v>
      </c>
      <c r="C140" s="116" t="str">
        <f>VLOOKUP(B140,'Insumos e Serviços'!$A:$F,2,0)</f>
        <v>SINAPI</v>
      </c>
      <c r="D140" s="117" t="str">
        <f>VLOOKUP(B140,'Insumos e Serviços'!$A:$F,4,0)</f>
        <v>TELA DE ACO SOLDADA NERVURADA, CA-60, Q-196, (3,11 KG/M2), DIAMETRO DO FIO = 5,0 MM, LARGURA = 2,45 M, ESPACAMENTO DA MALHA = 10 X 10 CM</v>
      </c>
      <c r="E140" s="116" t="str">
        <f>VLOOKUP(B140,'Insumos e Serviços'!$A:$F,5,0)</f>
        <v>m²</v>
      </c>
      <c r="F140" s="125">
        <v>1.05</v>
      </c>
      <c r="G140" s="118">
        <f>VLOOKUP(B140,'Insumos e Serviços'!$A:$F,6,0)</f>
        <v>41.12</v>
      </c>
      <c r="H140" s="118">
        <f t="shared" si="4"/>
        <v>43.17</v>
      </c>
    </row>
    <row r="141" spans="1:8" ht="22.5">
      <c r="A141" s="115" t="str">
        <f>VLOOKUP(B141,'Insumos e Serviços'!$A:$F,3,0)</f>
        <v>Insumo</v>
      </c>
      <c r="B141" s="116" t="s">
        <v>224</v>
      </c>
      <c r="C141" s="116" t="str">
        <f>VLOOKUP(B141,'Insumos e Serviços'!$A:$F,2,0)</f>
        <v>SINAPI</v>
      </c>
      <c r="D141" s="117" t="str">
        <f>VLOOKUP(B141,'Insumos e Serviços'!$A:$F,4,0)</f>
        <v>SELANTE ELASTICO MONOCOMPONENTE A BASE DE POLIURETANO (PU) PARA JUNTAS DIVERSAS</v>
      </c>
      <c r="E141" s="116" t="str">
        <f>VLOOKUP(B141,'Insumos e Serviços'!$A:$F,5,0)</f>
        <v>310ML</v>
      </c>
      <c r="F141" s="125">
        <v>0.1612</v>
      </c>
      <c r="G141" s="118">
        <f>VLOOKUP(B141,'Insumos e Serviços'!$A:$F,6,0)</f>
        <v>37.6</v>
      </c>
      <c r="H141" s="118">
        <f t="shared" si="4"/>
        <v>6.06</v>
      </c>
    </row>
    <row r="142" spans="1:8" ht="22.5">
      <c r="A142" s="115" t="str">
        <f>VLOOKUP(B142,'Insumos e Serviços'!$A:$F,3,0)</f>
        <v>Insumo</v>
      </c>
      <c r="B142" s="116" t="s">
        <v>1084</v>
      </c>
      <c r="C142" s="116" t="str">
        <f>VLOOKUP(B142,'Insumos e Serviços'!$A:$F,2,0)</f>
        <v>SINAPI</v>
      </c>
      <c r="D142" s="117" t="str">
        <f>VLOOKUP(B142,'Insumos e Serviços'!$A:$F,4,0)</f>
        <v>CONCRETO USINADO BOMBEAVEL, CLASSE DE RESISTENCIA C25, COM BRITA 0 E 1, SLUMP = 100 +/- 20 MM, INCLUI SERVICO DE BOMBEAMENTO (NBR 8953)</v>
      </c>
      <c r="E142" s="116" t="str">
        <f>VLOOKUP(B142,'Insumos e Serviços'!$A:$F,5,0)</f>
        <v>m³</v>
      </c>
      <c r="F142" s="125">
        <v>0.1096</v>
      </c>
      <c r="G142" s="118">
        <f>VLOOKUP(B142,'Insumos e Serviços'!$A:$F,6,0)</f>
        <v>423.27</v>
      </c>
      <c r="H142" s="118">
        <f t="shared" si="4"/>
        <v>46.39</v>
      </c>
    </row>
    <row r="143" spans="1:8" ht="13.5" thickBot="1">
      <c r="A143" s="115" t="str">
        <f>VLOOKUP(B143,'Insumos e Serviços'!$A:$F,3,0)</f>
        <v>Insumo</v>
      </c>
      <c r="B143" s="116" t="s">
        <v>1086</v>
      </c>
      <c r="C143" s="116" t="str">
        <f>VLOOKUP(B143,'Insumos e Serviços'!$A:$F,2,0)</f>
        <v>SINAPI</v>
      </c>
      <c r="D143" s="117" t="str">
        <f>VLOOKUP(B143,'Insumos e Serviços'!$A:$F,4,0)</f>
        <v>ACO CA-25, 16,0 MM, BARRA DE TRANSFERENCIA</v>
      </c>
      <c r="E143" s="116" t="str">
        <f>VLOOKUP(B143,'Insumos e Serviços'!$A:$F,5,0)</f>
        <v>KG</v>
      </c>
      <c r="F143" s="125">
        <v>2.1</v>
      </c>
      <c r="G143" s="118">
        <f>VLOOKUP(B143,'Insumos e Serviços'!$A:$F,6,0)</f>
        <v>11.39</v>
      </c>
      <c r="H143" s="118">
        <f t="shared" si="4"/>
        <v>23.91</v>
      </c>
    </row>
    <row r="144" spans="1:8" ht="13.5" thickTop="1">
      <c r="A144" s="119"/>
      <c r="B144" s="119"/>
      <c r="C144" s="119"/>
      <c r="D144" s="119"/>
      <c r="E144" s="119"/>
      <c r="F144" s="126"/>
      <c r="G144" s="119"/>
      <c r="H144" s="119"/>
    </row>
    <row r="145" spans="1:8" ht="22.5">
      <c r="A145" s="111" t="s">
        <v>25</v>
      </c>
      <c r="B145" s="112" t="str">
        <f>VLOOKUP(A145,'Orçamento Sintético'!$A:$H,2,0)</f>
        <v> MPDFT0170 </v>
      </c>
      <c r="C145" s="112" t="str">
        <f>VLOOKUP(A145,'Orçamento Sintético'!$A:$H,3,0)</f>
        <v>Próprio</v>
      </c>
      <c r="D145" s="113" t="str">
        <f>VLOOKUP(A145,'Orçamento Sintético'!$A:$H,4,0)</f>
        <v>Lastro de brita nº 1, espessura de 5cm, incluindo lona plástica para isolar o lastro do solo</v>
      </c>
      <c r="E145" s="112" t="str">
        <f>VLOOKUP(A145,'Orçamento Sintético'!$A:$H,5,0)</f>
        <v>m²</v>
      </c>
      <c r="F145" s="124"/>
      <c r="G145" s="114"/>
      <c r="H145" s="114">
        <f>SUM(H146:H151)</f>
        <v>12.05</v>
      </c>
    </row>
    <row r="146" spans="1:8" ht="12.75">
      <c r="A146" s="115" t="str">
        <f>VLOOKUP(B146,'Insumos e Serviços'!$A:$F,3,0)</f>
        <v>Composição</v>
      </c>
      <c r="B146" s="116" t="s">
        <v>210</v>
      </c>
      <c r="C146" s="116" t="str">
        <f>VLOOKUP(B146,'Insumos e Serviços'!$A:$F,2,0)</f>
        <v>SINAPI</v>
      </c>
      <c r="D146" s="117" t="str">
        <f>VLOOKUP(B146,'Insumos e Serviços'!$A:$F,4,0)</f>
        <v>PEDREIRO COM ENCARGOS COMPLEMENTARES</v>
      </c>
      <c r="E146" s="116" t="str">
        <f>VLOOKUP(B146,'Insumos e Serviços'!$A:$F,5,0)</f>
        <v>H</v>
      </c>
      <c r="F146" s="125">
        <v>0.0609</v>
      </c>
      <c r="G146" s="118">
        <f>VLOOKUP(B146,'Insumos e Serviços'!$A:$F,6,0)</f>
        <v>25.09</v>
      </c>
      <c r="H146" s="118">
        <f aca="true" t="shared" si="5" ref="H146:H151">TRUNC(F146*G146,2)</f>
        <v>1.52</v>
      </c>
    </row>
    <row r="147" spans="1:8" ht="12.75">
      <c r="A147" s="115" t="str">
        <f>VLOOKUP(B147,'Insumos e Serviços'!$A:$F,3,0)</f>
        <v>Composição</v>
      </c>
      <c r="B147" s="116" t="s">
        <v>200</v>
      </c>
      <c r="C147" s="116" t="str">
        <f>VLOOKUP(B147,'Insumos e Serviços'!$A:$F,2,0)</f>
        <v>SINAPI</v>
      </c>
      <c r="D147" s="117" t="str">
        <f>VLOOKUP(B147,'Insumos e Serviços'!$A:$F,4,0)</f>
        <v>SERVENTE COM ENCARGOS COMPLEMENTARES</v>
      </c>
      <c r="E147" s="116" t="str">
        <f>VLOOKUP(B147,'Insumos e Serviços'!$A:$F,5,0)</f>
        <v>H</v>
      </c>
      <c r="F147" s="125">
        <v>0.0197</v>
      </c>
      <c r="G147" s="118">
        <f>VLOOKUP(B147,'Insumos e Serviços'!$A:$F,6,0)</f>
        <v>18.65</v>
      </c>
      <c r="H147" s="118">
        <f t="shared" si="5"/>
        <v>0.36</v>
      </c>
    </row>
    <row r="148" spans="1:8" ht="22.5">
      <c r="A148" s="115" t="str">
        <f>VLOOKUP(B148,'Insumos e Serviços'!$A:$F,3,0)</f>
        <v>Composição</v>
      </c>
      <c r="B148" s="116" t="s">
        <v>221</v>
      </c>
      <c r="C148" s="116" t="str">
        <f>VLOOKUP(B148,'Insumos e Serviços'!$A:$F,2,0)</f>
        <v>SINAPI</v>
      </c>
      <c r="D148" s="117" t="str">
        <f>VLOOKUP(B148,'Insumos e Serviços'!$A:$F,4,0)</f>
        <v>PLACA VIBRATÓRIA REVERSÍVEL COM MOTOR 4 TEMPOS A GASOLINA, FORÇA CENTRÍFUGA DE 25 KN (2500 KGF), POTÊNCIA 5,5 CV - CHP DIURNO. AF_08/2015</v>
      </c>
      <c r="E148" s="116" t="str">
        <f>VLOOKUP(B148,'Insumos e Serviços'!$A:$F,5,0)</f>
        <v>CHP</v>
      </c>
      <c r="F148" s="125">
        <v>0.0016</v>
      </c>
      <c r="G148" s="118">
        <f>VLOOKUP(B148,'Insumos e Serviços'!$A:$F,6,0)</f>
        <v>11.56</v>
      </c>
      <c r="H148" s="118">
        <f t="shared" si="5"/>
        <v>0.01</v>
      </c>
    </row>
    <row r="149" spans="1:8" ht="22.5">
      <c r="A149" s="115" t="str">
        <f>VLOOKUP(B149,'Insumos e Serviços'!$A:$F,3,0)</f>
        <v>Composição</v>
      </c>
      <c r="B149" s="116" t="s">
        <v>222</v>
      </c>
      <c r="C149" s="116" t="str">
        <f>VLOOKUP(B149,'Insumos e Serviços'!$A:$F,2,0)</f>
        <v>SINAPI</v>
      </c>
      <c r="D149" s="117" t="str">
        <f>VLOOKUP(B149,'Insumos e Serviços'!$A:$F,4,0)</f>
        <v>PLACA VIBRATÓRIA REVERSÍVEL COM MOTOR 4 TEMPOS A GASOLINA, FORÇA CENTRÍFUGA DE 25 KN (2500 KGF), POTÊNCIA 5,5 CV - CHI DIURNO. AF_08/2015</v>
      </c>
      <c r="E149" s="116" t="str">
        <f>VLOOKUP(B149,'Insumos e Serviços'!$A:$F,5,0)</f>
        <v>CHI</v>
      </c>
      <c r="F149" s="125">
        <v>0.0015</v>
      </c>
      <c r="G149" s="118">
        <f>VLOOKUP(B149,'Insumos e Serviços'!$A:$F,6,0)</f>
        <v>0.61</v>
      </c>
      <c r="H149" s="118">
        <f t="shared" si="5"/>
        <v>0</v>
      </c>
    </row>
    <row r="150" spans="1:8" ht="12.75">
      <c r="A150" s="115" t="str">
        <f>VLOOKUP(B150,'Insumos e Serviços'!$A:$F,3,0)</f>
        <v>Insumo</v>
      </c>
      <c r="B150" s="116" t="s">
        <v>201</v>
      </c>
      <c r="C150" s="116" t="str">
        <f>VLOOKUP(B150,'Insumos e Serviços'!$A:$F,2,0)</f>
        <v>SINAPI</v>
      </c>
      <c r="D150" s="117" t="str">
        <f>VLOOKUP(B150,'Insumos e Serviços'!$A:$F,4,0)</f>
        <v>LONA PLASTICA PRETA, E= 150 MICRA</v>
      </c>
      <c r="E150" s="116" t="str">
        <f>VLOOKUP(B150,'Insumos e Serviços'!$A:$F,5,0)</f>
        <v>m²</v>
      </c>
      <c r="F150" s="125">
        <v>1</v>
      </c>
      <c r="G150" s="118">
        <f>VLOOKUP(B150,'Insumos e Serviços'!$A:$F,6,0)</f>
        <v>1.73</v>
      </c>
      <c r="H150" s="118">
        <f t="shared" si="5"/>
        <v>1.73</v>
      </c>
    </row>
    <row r="151" spans="1:8" ht="13.5" thickBot="1">
      <c r="A151" s="115" t="str">
        <f>VLOOKUP(B151,'Insumos e Serviços'!$A:$F,3,0)</f>
        <v>Insumo</v>
      </c>
      <c r="B151" s="116" t="s">
        <v>223</v>
      </c>
      <c r="C151" s="116" t="str">
        <f>VLOOKUP(B151,'Insumos e Serviços'!$A:$F,2,0)</f>
        <v>SINAPI</v>
      </c>
      <c r="D151" s="117" t="str">
        <f>VLOOKUP(B151,'Insumos e Serviços'!$A:$F,4,0)</f>
        <v>PEDRA BRITADA N. 1 (9,5 a 19 MM) POSTO PEDREIRA/FORNECEDOR, SEM FRETE</v>
      </c>
      <c r="E151" s="116" t="str">
        <f>VLOOKUP(B151,'Insumos e Serviços'!$A:$F,5,0)</f>
        <v>m³</v>
      </c>
      <c r="F151" s="125">
        <v>0.0565</v>
      </c>
      <c r="G151" s="118">
        <f>VLOOKUP(B151,'Insumos e Serviços'!$A:$F,6,0)</f>
        <v>149.21</v>
      </c>
      <c r="H151" s="118">
        <f t="shared" si="5"/>
        <v>8.43</v>
      </c>
    </row>
    <row r="152" spans="1:8" ht="13.5" thickTop="1">
      <c r="A152" s="119"/>
      <c r="B152" s="119"/>
      <c r="C152" s="119"/>
      <c r="D152" s="119"/>
      <c r="E152" s="119"/>
      <c r="F152" s="126"/>
      <c r="G152" s="119"/>
      <c r="H152" s="119"/>
    </row>
    <row r="153" spans="1:8" ht="33.75">
      <c r="A153" s="111" t="s">
        <v>28</v>
      </c>
      <c r="B153" s="112" t="str">
        <f>VLOOKUP(A153,'Orçamento Sintético'!$A:$H,2,0)</f>
        <v> MPDFT1594 </v>
      </c>
      <c r="C153" s="112" t="str">
        <f>VLOOKUP(A153,'Orçamento Sintético'!$A:$H,3,0)</f>
        <v>Próprio</v>
      </c>
      <c r="D153" s="113" t="str">
        <f>VLOOKUP(A153,'Orçamento Sintético'!$A:$H,4,0)</f>
        <v>Cópia da SINAPI (87263) – Mão de obra de assentamento de revestimento cerâmico para piso com placas tipo porcelanato, inclusive argamassa e rejunte</v>
      </c>
      <c r="E153" s="112" t="str">
        <f>VLOOKUP(A153,'Orçamento Sintético'!$A:$H,5,0)</f>
        <v>m²</v>
      </c>
      <c r="F153" s="124"/>
      <c r="G153" s="114"/>
      <c r="H153" s="114">
        <f>SUM(H154:H157)</f>
        <v>28.32</v>
      </c>
    </row>
    <row r="154" spans="1:8" ht="12.75">
      <c r="A154" s="115" t="str">
        <f>VLOOKUP(B154,'Insumos e Serviços'!$A:$F,3,0)</f>
        <v>Composição</v>
      </c>
      <c r="B154" s="116" t="s">
        <v>225</v>
      </c>
      <c r="C154" s="116" t="str">
        <f>VLOOKUP(B154,'Insumos e Serviços'!$A:$F,2,0)</f>
        <v>SINAPI</v>
      </c>
      <c r="D154" s="117" t="str">
        <f>VLOOKUP(B154,'Insumos e Serviços'!$A:$F,4,0)</f>
        <v>AZULEJISTA OU LADRILHISTA COM ENCARGOS COMPLEMENTARES</v>
      </c>
      <c r="E154" s="116" t="str">
        <f>VLOOKUP(B154,'Insumos e Serviços'!$A:$F,5,0)</f>
        <v>H</v>
      </c>
      <c r="F154" s="125">
        <v>0.44</v>
      </c>
      <c r="G154" s="118">
        <f>VLOOKUP(B154,'Insumos e Serviços'!$A:$F,6,0)</f>
        <v>25</v>
      </c>
      <c r="H154" s="118">
        <f>TRUNC(F154*G154,2)</f>
        <v>11</v>
      </c>
    </row>
    <row r="155" spans="1:8" ht="12.75">
      <c r="A155" s="115" t="str">
        <f>VLOOKUP(B155,'Insumos e Serviços'!$A:$F,3,0)</f>
        <v>Composição</v>
      </c>
      <c r="B155" s="116" t="s">
        <v>200</v>
      </c>
      <c r="C155" s="116" t="str">
        <f>VLOOKUP(B155,'Insumos e Serviços'!$A:$F,2,0)</f>
        <v>SINAPI</v>
      </c>
      <c r="D155" s="117" t="str">
        <f>VLOOKUP(B155,'Insumos e Serviços'!$A:$F,4,0)</f>
        <v>SERVENTE COM ENCARGOS COMPLEMENTARES</v>
      </c>
      <c r="E155" s="116" t="str">
        <f>VLOOKUP(B155,'Insumos e Serviços'!$A:$F,5,0)</f>
        <v>H</v>
      </c>
      <c r="F155" s="125">
        <v>0.2</v>
      </c>
      <c r="G155" s="118">
        <f>VLOOKUP(B155,'Insumos e Serviços'!$A:$F,6,0)</f>
        <v>18.65</v>
      </c>
      <c r="H155" s="118">
        <f>TRUNC(F155*G155,2)</f>
        <v>3.73</v>
      </c>
    </row>
    <row r="156" spans="1:8" ht="12.75">
      <c r="A156" s="115" t="str">
        <f>VLOOKUP(B156,'Insumos e Serviços'!$A:$F,3,0)</f>
        <v>Insumo</v>
      </c>
      <c r="B156" s="116" t="s">
        <v>1090</v>
      </c>
      <c r="C156" s="116" t="str">
        <f>VLOOKUP(B156,'Insumos e Serviços'!$A:$F,2,0)</f>
        <v>SINAPI</v>
      </c>
      <c r="D156" s="117" t="str">
        <f>VLOOKUP(B156,'Insumos e Serviços'!$A:$F,4,0)</f>
        <v>REJUNTE CIMENTICIO, QUALQUER COR</v>
      </c>
      <c r="E156" s="116" t="str">
        <f>VLOOKUP(B156,'Insumos e Serviços'!$A:$F,5,0)</f>
        <v>KG</v>
      </c>
      <c r="F156" s="125">
        <v>0.14</v>
      </c>
      <c r="G156" s="118">
        <f>VLOOKUP(B156,'Insumos e Serviços'!$A:$F,6,0)</f>
        <v>2.93</v>
      </c>
      <c r="H156" s="118">
        <f>TRUNC(F156*G156,2)</f>
        <v>0.41</v>
      </c>
    </row>
    <row r="157" spans="1:8" ht="13.5" thickBot="1">
      <c r="A157" s="115" t="str">
        <f>VLOOKUP(B157,'Insumos e Serviços'!$A:$F,3,0)</f>
        <v>Insumo</v>
      </c>
      <c r="B157" s="116" t="s">
        <v>1092</v>
      </c>
      <c r="C157" s="116" t="str">
        <f>VLOOKUP(B157,'Insumos e Serviços'!$A:$F,2,0)</f>
        <v>SINAPI</v>
      </c>
      <c r="D157" s="117" t="str">
        <f>VLOOKUP(B157,'Insumos e Serviços'!$A:$F,4,0)</f>
        <v>ARGAMASSA COLANTE TIPO AC III</v>
      </c>
      <c r="E157" s="116" t="str">
        <f>VLOOKUP(B157,'Insumos e Serviços'!$A:$F,5,0)</f>
        <v>KG</v>
      </c>
      <c r="F157" s="125">
        <v>8.62</v>
      </c>
      <c r="G157" s="118">
        <f>VLOOKUP(B157,'Insumos e Serviços'!$A:$F,6,0)</f>
        <v>1.53</v>
      </c>
      <c r="H157" s="118">
        <f>TRUNC(F157*G157,2)</f>
        <v>13.18</v>
      </c>
    </row>
    <row r="158" spans="1:8" ht="13.5" thickTop="1">
      <c r="A158" s="119"/>
      <c r="B158" s="119"/>
      <c r="C158" s="119"/>
      <c r="D158" s="119"/>
      <c r="E158" s="119"/>
      <c r="F158" s="126"/>
      <c r="G158" s="119"/>
      <c r="H158" s="119"/>
    </row>
    <row r="159" spans="1:8" ht="22.5">
      <c r="A159" s="111" t="s">
        <v>31</v>
      </c>
      <c r="B159" s="112" t="str">
        <f>VLOOKUP(A159,'Orçamento Sintético'!$A:$H,2,0)</f>
        <v> MPDFT1602 </v>
      </c>
      <c r="C159" s="112" t="str">
        <f>VLOOKUP(A159,'Orçamento Sintético'!$A:$H,3,0)</f>
        <v>Próprio</v>
      </c>
      <c r="D159" s="113" t="str">
        <f>VLOOKUP(A159,'Orçamento Sintético'!$A:$H,4,0)</f>
        <v>Copia da SINAPI (87263) - Porcelanato cinza claro, acab. acetindo 60x60cm, Biancogrês Cemento Grigio</v>
      </c>
      <c r="E159" s="112" t="str">
        <f>VLOOKUP(A159,'Orçamento Sintético'!$A:$H,5,0)</f>
        <v>m²</v>
      </c>
      <c r="F159" s="124"/>
      <c r="G159" s="114"/>
      <c r="H159" s="114">
        <f>SUM(H160:H164)</f>
        <v>97.55000000000001</v>
      </c>
    </row>
    <row r="160" spans="1:8" ht="12.75">
      <c r="A160" s="115" t="str">
        <f>VLOOKUP(B160,'Insumos e Serviços'!$A:$F,3,0)</f>
        <v>Composição</v>
      </c>
      <c r="B160" s="116" t="s">
        <v>225</v>
      </c>
      <c r="C160" s="116" t="str">
        <f>VLOOKUP(B160,'Insumos e Serviços'!$A:$F,2,0)</f>
        <v>SINAPI</v>
      </c>
      <c r="D160" s="117" t="str">
        <f>VLOOKUP(B160,'Insumos e Serviços'!$A:$F,4,0)</f>
        <v>AZULEJISTA OU LADRILHISTA COM ENCARGOS COMPLEMENTARES</v>
      </c>
      <c r="E160" s="116" t="str">
        <f>VLOOKUP(B160,'Insumos e Serviços'!$A:$F,5,0)</f>
        <v>H</v>
      </c>
      <c r="F160" s="125">
        <v>0.44</v>
      </c>
      <c r="G160" s="118">
        <f>VLOOKUP(B160,'Insumos e Serviços'!$A:$F,6,0)</f>
        <v>25</v>
      </c>
      <c r="H160" s="118">
        <f>TRUNC(F160*G160,2)</f>
        <v>11</v>
      </c>
    </row>
    <row r="161" spans="1:8" ht="12.75">
      <c r="A161" s="115" t="str">
        <f>VLOOKUP(B161,'Insumos e Serviços'!$A:$F,3,0)</f>
        <v>Composição</v>
      </c>
      <c r="B161" s="116" t="s">
        <v>200</v>
      </c>
      <c r="C161" s="116" t="str">
        <f>VLOOKUP(B161,'Insumos e Serviços'!$A:$F,2,0)</f>
        <v>SINAPI</v>
      </c>
      <c r="D161" s="117" t="str">
        <f>VLOOKUP(B161,'Insumos e Serviços'!$A:$F,4,0)</f>
        <v>SERVENTE COM ENCARGOS COMPLEMENTARES</v>
      </c>
      <c r="E161" s="116" t="str">
        <f>VLOOKUP(B161,'Insumos e Serviços'!$A:$F,5,0)</f>
        <v>H</v>
      </c>
      <c r="F161" s="125">
        <v>0.2</v>
      </c>
      <c r="G161" s="118">
        <f>VLOOKUP(B161,'Insumos e Serviços'!$A:$F,6,0)</f>
        <v>18.65</v>
      </c>
      <c r="H161" s="118">
        <f>TRUNC(F161*G161,2)</f>
        <v>3.73</v>
      </c>
    </row>
    <row r="162" spans="1:8" ht="12.75">
      <c r="A162" s="115" t="str">
        <f>VLOOKUP(B162,'Insumos e Serviços'!$A:$F,3,0)</f>
        <v>Insumo</v>
      </c>
      <c r="B162" s="116" t="s">
        <v>1090</v>
      </c>
      <c r="C162" s="116" t="str">
        <f>VLOOKUP(B162,'Insumos e Serviços'!$A:$F,2,0)</f>
        <v>SINAPI</v>
      </c>
      <c r="D162" s="117" t="str">
        <f>VLOOKUP(B162,'Insumos e Serviços'!$A:$F,4,0)</f>
        <v>REJUNTE CIMENTICIO, QUALQUER COR</v>
      </c>
      <c r="E162" s="116" t="str">
        <f>VLOOKUP(B162,'Insumos e Serviços'!$A:$F,5,0)</f>
        <v>KG</v>
      </c>
      <c r="F162" s="125">
        <v>0.14</v>
      </c>
      <c r="G162" s="118">
        <f>VLOOKUP(B162,'Insumos e Serviços'!$A:$F,6,0)</f>
        <v>2.93</v>
      </c>
      <c r="H162" s="118">
        <f>TRUNC(F162*G162,2)</f>
        <v>0.41</v>
      </c>
    </row>
    <row r="163" spans="1:8" ht="12.75">
      <c r="A163" s="115" t="str">
        <f>VLOOKUP(B163,'Insumos e Serviços'!$A:$F,3,0)</f>
        <v>Insumo</v>
      </c>
      <c r="B163" s="116" t="s">
        <v>234</v>
      </c>
      <c r="C163" s="116" t="str">
        <f>VLOOKUP(B163,'Insumos e Serviços'!$A:$F,2,0)</f>
        <v>SINAPI</v>
      </c>
      <c r="D163" s="117" t="str">
        <f>VLOOKUP(B163,'Insumos e Serviços'!$A:$F,4,0)</f>
        <v>ARGAMASSA COLANTE AC II</v>
      </c>
      <c r="E163" s="116" t="str">
        <f>VLOOKUP(B163,'Insumos e Serviços'!$A:$F,5,0)</f>
        <v>KG</v>
      </c>
      <c r="F163" s="125">
        <v>8.62</v>
      </c>
      <c r="G163" s="118">
        <f>VLOOKUP(B163,'Insumos e Serviços'!$A:$F,6,0)</f>
        <v>0.93</v>
      </c>
      <c r="H163" s="118">
        <f>TRUNC(F163*G163,2)</f>
        <v>8.01</v>
      </c>
    </row>
    <row r="164" spans="1:8" ht="13.5" thickBot="1">
      <c r="A164" s="115" t="str">
        <f>VLOOKUP(B164,'Insumos e Serviços'!$A:$F,3,0)</f>
        <v>Insumo</v>
      </c>
      <c r="B164" s="116" t="s">
        <v>514</v>
      </c>
      <c r="C164" s="116" t="str">
        <f>VLOOKUP(B164,'Insumos e Serviços'!$A:$F,2,0)</f>
        <v>Próprio</v>
      </c>
      <c r="D164" s="117" t="str">
        <f>VLOOKUP(B164,'Insumos e Serviços'!$A:$F,4,0)</f>
        <v>Porcelanato cinza claro, acab. acetindo 60x60cm, Biancogrês Cemento Grigio</v>
      </c>
      <c r="E164" s="116" t="str">
        <f>VLOOKUP(B164,'Insumos e Serviços'!$A:$F,5,0)</f>
        <v>m²</v>
      </c>
      <c r="F164" s="125">
        <v>1.07</v>
      </c>
      <c r="G164" s="118">
        <f>VLOOKUP(B164,'Insumos e Serviços'!$A:$F,6,0)</f>
        <v>69.54</v>
      </c>
      <c r="H164" s="118">
        <f>TRUNC(F164*G164,2)</f>
        <v>74.4</v>
      </c>
    </row>
    <row r="165" spans="1:8" ht="13.5" thickTop="1">
      <c r="A165" s="119"/>
      <c r="B165" s="119"/>
      <c r="C165" s="119"/>
      <c r="D165" s="119"/>
      <c r="E165" s="119"/>
      <c r="F165" s="126"/>
      <c r="G165" s="119"/>
      <c r="H165" s="119"/>
    </row>
    <row r="166" spans="1:8" ht="22.5">
      <c r="A166" s="111" t="s">
        <v>34</v>
      </c>
      <c r="B166" s="112" t="str">
        <f>VLOOKUP(A166,'Orçamento Sintético'!$A:$H,2,0)</f>
        <v> MPDFT1603 </v>
      </c>
      <c r="C166" s="112" t="str">
        <f>VLOOKUP(A166,'Orçamento Sintético'!$A:$H,3,0)</f>
        <v>Próprio</v>
      </c>
      <c r="D166" s="113" t="str">
        <f>VLOOKUP(A166,'Orçamento Sintético'!$A:$H,4,0)</f>
        <v>Copia da SINAPI (87263) - Porcelanato cinza escuro acab. acetinado 60x60cm, Biancogres Cemento Grafite</v>
      </c>
      <c r="E166" s="112" t="str">
        <f>VLOOKUP(A166,'Orçamento Sintético'!$A:$H,5,0)</f>
        <v>m²</v>
      </c>
      <c r="F166" s="124"/>
      <c r="G166" s="114"/>
      <c r="H166" s="114">
        <f>SUM(H167:H171)</f>
        <v>103.22999999999999</v>
      </c>
    </row>
    <row r="167" spans="1:8" ht="12.75">
      <c r="A167" s="115" t="str">
        <f>VLOOKUP(B167,'Insumos e Serviços'!$A:$F,3,0)</f>
        <v>Composição</v>
      </c>
      <c r="B167" s="116" t="s">
        <v>225</v>
      </c>
      <c r="C167" s="116" t="str">
        <f>VLOOKUP(B167,'Insumos e Serviços'!$A:$F,2,0)</f>
        <v>SINAPI</v>
      </c>
      <c r="D167" s="117" t="str">
        <f>VLOOKUP(B167,'Insumos e Serviços'!$A:$F,4,0)</f>
        <v>AZULEJISTA OU LADRILHISTA COM ENCARGOS COMPLEMENTARES</v>
      </c>
      <c r="E167" s="116" t="str">
        <f>VLOOKUP(B167,'Insumos e Serviços'!$A:$F,5,0)</f>
        <v>H</v>
      </c>
      <c r="F167" s="125">
        <v>0.44</v>
      </c>
      <c r="G167" s="118">
        <f>VLOOKUP(B167,'Insumos e Serviços'!$A:$F,6,0)</f>
        <v>25</v>
      </c>
      <c r="H167" s="118">
        <f>TRUNC(F167*G167,2)</f>
        <v>11</v>
      </c>
    </row>
    <row r="168" spans="1:8" ht="12.75">
      <c r="A168" s="115" t="str">
        <f>VLOOKUP(B168,'Insumos e Serviços'!$A:$F,3,0)</f>
        <v>Composição</v>
      </c>
      <c r="B168" s="116" t="s">
        <v>200</v>
      </c>
      <c r="C168" s="116" t="str">
        <f>VLOOKUP(B168,'Insumos e Serviços'!$A:$F,2,0)</f>
        <v>SINAPI</v>
      </c>
      <c r="D168" s="117" t="str">
        <f>VLOOKUP(B168,'Insumos e Serviços'!$A:$F,4,0)</f>
        <v>SERVENTE COM ENCARGOS COMPLEMENTARES</v>
      </c>
      <c r="E168" s="116" t="str">
        <f>VLOOKUP(B168,'Insumos e Serviços'!$A:$F,5,0)</f>
        <v>H</v>
      </c>
      <c r="F168" s="125">
        <v>0.2</v>
      </c>
      <c r="G168" s="118">
        <f>VLOOKUP(B168,'Insumos e Serviços'!$A:$F,6,0)</f>
        <v>18.65</v>
      </c>
      <c r="H168" s="118">
        <f>TRUNC(F168*G168,2)</f>
        <v>3.73</v>
      </c>
    </row>
    <row r="169" spans="1:8" ht="12.75">
      <c r="A169" s="115" t="str">
        <f>VLOOKUP(B169,'Insumos e Serviços'!$A:$F,3,0)</f>
        <v>Insumo</v>
      </c>
      <c r="B169" s="116" t="s">
        <v>1090</v>
      </c>
      <c r="C169" s="116" t="str">
        <f>VLOOKUP(B169,'Insumos e Serviços'!$A:$F,2,0)</f>
        <v>SINAPI</v>
      </c>
      <c r="D169" s="117" t="str">
        <f>VLOOKUP(B169,'Insumos e Serviços'!$A:$F,4,0)</f>
        <v>REJUNTE CIMENTICIO, QUALQUER COR</v>
      </c>
      <c r="E169" s="116" t="str">
        <f>VLOOKUP(B169,'Insumos e Serviços'!$A:$F,5,0)</f>
        <v>KG</v>
      </c>
      <c r="F169" s="125">
        <v>0.14</v>
      </c>
      <c r="G169" s="118">
        <f>VLOOKUP(B169,'Insumos e Serviços'!$A:$F,6,0)</f>
        <v>2.93</v>
      </c>
      <c r="H169" s="118">
        <f>TRUNC(F169*G169,2)</f>
        <v>0.41</v>
      </c>
    </row>
    <row r="170" spans="1:8" ht="12.75">
      <c r="A170" s="115" t="str">
        <f>VLOOKUP(B170,'Insumos e Serviços'!$A:$F,3,0)</f>
        <v>Insumo</v>
      </c>
      <c r="B170" s="116" t="s">
        <v>234</v>
      </c>
      <c r="C170" s="116" t="str">
        <f>VLOOKUP(B170,'Insumos e Serviços'!$A:$F,2,0)</f>
        <v>SINAPI</v>
      </c>
      <c r="D170" s="117" t="str">
        <f>VLOOKUP(B170,'Insumos e Serviços'!$A:$F,4,0)</f>
        <v>ARGAMASSA COLANTE AC II</v>
      </c>
      <c r="E170" s="116" t="str">
        <f>VLOOKUP(B170,'Insumos e Serviços'!$A:$F,5,0)</f>
        <v>KG</v>
      </c>
      <c r="F170" s="125">
        <v>8.62</v>
      </c>
      <c r="G170" s="118">
        <f>VLOOKUP(B170,'Insumos e Serviços'!$A:$F,6,0)</f>
        <v>0.93</v>
      </c>
      <c r="H170" s="118">
        <f>TRUNC(F170*G170,2)</f>
        <v>8.01</v>
      </c>
    </row>
    <row r="171" spans="1:8" ht="13.5" thickBot="1">
      <c r="A171" s="115" t="str">
        <f>VLOOKUP(B171,'Insumos e Serviços'!$A:$F,3,0)</f>
        <v>Insumo</v>
      </c>
      <c r="B171" s="116" t="s">
        <v>516</v>
      </c>
      <c r="C171" s="116" t="str">
        <f>VLOOKUP(B171,'Insumos e Serviços'!$A:$F,2,0)</f>
        <v>Próprio</v>
      </c>
      <c r="D171" s="117" t="str">
        <f>VLOOKUP(B171,'Insumos e Serviços'!$A:$F,4,0)</f>
        <v>Porcelanato cinza escuro acab. acetinado 60x60cm, Biancogres Cemento Grafite</v>
      </c>
      <c r="E171" s="116" t="str">
        <f>VLOOKUP(B171,'Insumos e Serviços'!$A:$F,5,0)</f>
        <v>m²</v>
      </c>
      <c r="F171" s="125">
        <v>1.07</v>
      </c>
      <c r="G171" s="118">
        <f>VLOOKUP(B171,'Insumos e Serviços'!$A:$F,6,0)</f>
        <v>74.85</v>
      </c>
      <c r="H171" s="118">
        <f>TRUNC(F171*G171,2)</f>
        <v>80.08</v>
      </c>
    </row>
    <row r="172" spans="1:8" ht="13.5" thickTop="1">
      <c r="A172" s="119"/>
      <c r="B172" s="119"/>
      <c r="C172" s="119"/>
      <c r="D172" s="119"/>
      <c r="E172" s="119"/>
      <c r="F172" s="126"/>
      <c r="G172" s="119"/>
      <c r="H172" s="119"/>
    </row>
    <row r="173" spans="1:8" ht="22.5">
      <c r="A173" s="111" t="s">
        <v>37</v>
      </c>
      <c r="B173" s="112" t="str">
        <f>VLOOKUP(A173,'Orçamento Sintético'!$A:$H,2,0)</f>
        <v> MPDFT1604 </v>
      </c>
      <c r="C173" s="112" t="str">
        <f>VLOOKUP(A173,'Orçamento Sintético'!$A:$H,3,0)</f>
        <v>Próprio</v>
      </c>
      <c r="D173" s="113" t="str">
        <f>VLOOKUP(A173,'Orçamento Sintético'!$A:$H,4,0)</f>
        <v>Copia da SINAPI (88650) - Rodapé em porcelanato cinza escuro acab. acetinado (peça 60x60cm) - corte 15x60, Biancogres Cemento Grafite</v>
      </c>
      <c r="E173" s="112" t="str">
        <f>VLOOKUP(A173,'Orçamento Sintético'!$A:$H,5,0)</f>
        <v>m</v>
      </c>
      <c r="F173" s="124"/>
      <c r="G173" s="114"/>
      <c r="H173" s="114">
        <f>SUM(H174:H178)</f>
        <v>35.63</v>
      </c>
    </row>
    <row r="174" spans="1:8" ht="12.75">
      <c r="A174" s="115" t="str">
        <f>VLOOKUP(B174,'Insumos e Serviços'!$A:$F,3,0)</f>
        <v>Composição</v>
      </c>
      <c r="B174" s="116" t="s">
        <v>225</v>
      </c>
      <c r="C174" s="116" t="str">
        <f>VLOOKUP(B174,'Insumos e Serviços'!$A:$F,2,0)</f>
        <v>SINAPI</v>
      </c>
      <c r="D174" s="117" t="str">
        <f>VLOOKUP(B174,'Insumos e Serviços'!$A:$F,4,0)</f>
        <v>AZULEJISTA OU LADRILHISTA COM ENCARGOS COMPLEMENTARES</v>
      </c>
      <c r="E174" s="116" t="str">
        <f>VLOOKUP(B174,'Insumos e Serviços'!$A:$F,5,0)</f>
        <v>H</v>
      </c>
      <c r="F174" s="125">
        <v>0.1275</v>
      </c>
      <c r="G174" s="118">
        <f>VLOOKUP(B174,'Insumos e Serviços'!$A:$F,6,0)</f>
        <v>25</v>
      </c>
      <c r="H174" s="118">
        <f>TRUNC(F174*G174,2)</f>
        <v>3.18</v>
      </c>
    </row>
    <row r="175" spans="1:8" ht="12.75">
      <c r="A175" s="115" t="str">
        <f>VLOOKUP(B175,'Insumos e Serviços'!$A:$F,3,0)</f>
        <v>Composição</v>
      </c>
      <c r="B175" s="116" t="s">
        <v>200</v>
      </c>
      <c r="C175" s="116" t="str">
        <f>VLOOKUP(B175,'Insumos e Serviços'!$A:$F,2,0)</f>
        <v>SINAPI</v>
      </c>
      <c r="D175" s="117" t="str">
        <f>VLOOKUP(B175,'Insumos e Serviços'!$A:$F,4,0)</f>
        <v>SERVENTE COM ENCARGOS COMPLEMENTARES</v>
      </c>
      <c r="E175" s="116" t="str">
        <f>VLOOKUP(B175,'Insumos e Serviços'!$A:$F,5,0)</f>
        <v>H</v>
      </c>
      <c r="F175" s="125">
        <v>0.0465</v>
      </c>
      <c r="G175" s="118">
        <f>VLOOKUP(B175,'Insumos e Serviços'!$A:$F,6,0)</f>
        <v>18.65</v>
      </c>
      <c r="H175" s="118">
        <f>TRUNC(F175*G175,2)</f>
        <v>0.86</v>
      </c>
    </row>
    <row r="176" spans="1:8" ht="12.75">
      <c r="A176" s="115" t="str">
        <f>VLOOKUP(B176,'Insumos e Serviços'!$A:$F,3,0)</f>
        <v>Insumo</v>
      </c>
      <c r="B176" s="116" t="s">
        <v>1090</v>
      </c>
      <c r="C176" s="116" t="str">
        <f>VLOOKUP(B176,'Insumos e Serviços'!$A:$F,2,0)</f>
        <v>SINAPI</v>
      </c>
      <c r="D176" s="117" t="str">
        <f>VLOOKUP(B176,'Insumos e Serviços'!$A:$F,4,0)</f>
        <v>REJUNTE CIMENTICIO, QUALQUER COR</v>
      </c>
      <c r="E176" s="116" t="str">
        <f>VLOOKUP(B176,'Insumos e Serviços'!$A:$F,5,0)</f>
        <v>KG</v>
      </c>
      <c r="F176" s="125">
        <v>0.36</v>
      </c>
      <c r="G176" s="118">
        <f>VLOOKUP(B176,'Insumos e Serviços'!$A:$F,6,0)</f>
        <v>2.93</v>
      </c>
      <c r="H176" s="118">
        <f>TRUNC(F176*G176,2)</f>
        <v>1.05</v>
      </c>
    </row>
    <row r="177" spans="1:8" ht="12.75">
      <c r="A177" s="115" t="str">
        <f>VLOOKUP(B177,'Insumos e Serviços'!$A:$F,3,0)</f>
        <v>Insumo</v>
      </c>
      <c r="B177" s="116" t="s">
        <v>234</v>
      </c>
      <c r="C177" s="116" t="str">
        <f>VLOOKUP(B177,'Insumos e Serviços'!$A:$F,2,0)</f>
        <v>SINAPI</v>
      </c>
      <c r="D177" s="117" t="str">
        <f>VLOOKUP(B177,'Insumos e Serviços'!$A:$F,4,0)</f>
        <v>ARGAMASSA COLANTE AC II</v>
      </c>
      <c r="E177" s="116" t="str">
        <f>VLOOKUP(B177,'Insumos e Serviços'!$A:$F,5,0)</f>
        <v>KG</v>
      </c>
      <c r="F177" s="125">
        <v>2.5842</v>
      </c>
      <c r="G177" s="118">
        <f>VLOOKUP(B177,'Insumos e Serviços'!$A:$F,6,0)</f>
        <v>0.93</v>
      </c>
      <c r="H177" s="118">
        <f>TRUNC(F177*G177,2)</f>
        <v>2.4</v>
      </c>
    </row>
    <row r="178" spans="1:8" ht="13.5" thickBot="1">
      <c r="A178" s="115" t="str">
        <f>VLOOKUP(B178,'Insumos e Serviços'!$A:$F,3,0)</f>
        <v>Insumo</v>
      </c>
      <c r="B178" s="116" t="s">
        <v>516</v>
      </c>
      <c r="C178" s="116" t="str">
        <f>VLOOKUP(B178,'Insumos e Serviços'!$A:$F,2,0)</f>
        <v>Próprio</v>
      </c>
      <c r="D178" s="117" t="str">
        <f>VLOOKUP(B178,'Insumos e Serviços'!$A:$F,4,0)</f>
        <v>Porcelanato cinza escuro acab. acetinado 60x60cm, Biancogres Cemento Grafite</v>
      </c>
      <c r="E178" s="116" t="str">
        <f>VLOOKUP(B178,'Insumos e Serviços'!$A:$F,5,0)</f>
        <v>m²</v>
      </c>
      <c r="F178" s="125">
        <v>0.376</v>
      </c>
      <c r="G178" s="118">
        <f>VLOOKUP(B178,'Insumos e Serviços'!$A:$F,6,0)</f>
        <v>74.85</v>
      </c>
      <c r="H178" s="118">
        <f>TRUNC(F178*G178,2)</f>
        <v>28.14</v>
      </c>
    </row>
    <row r="179" spans="1:8" ht="13.5" thickTop="1">
      <c r="A179" s="119"/>
      <c r="B179" s="119"/>
      <c r="C179" s="119"/>
      <c r="D179" s="119"/>
      <c r="E179" s="119"/>
      <c r="F179" s="126"/>
      <c r="G179" s="119"/>
      <c r="H179" s="119"/>
    </row>
    <row r="180" spans="1:8" ht="22.5">
      <c r="A180" s="111" t="s">
        <v>40</v>
      </c>
      <c r="B180" s="112" t="str">
        <f>VLOOKUP(A180,'Orçamento Sintético'!$A:$H,2,0)</f>
        <v> MPDFT1605 </v>
      </c>
      <c r="C180" s="112" t="str">
        <f>VLOOKUP(A180,'Orçamento Sintético'!$A:$H,3,0)</f>
        <v>Próprio</v>
      </c>
      <c r="D180" s="113" t="str">
        <f>VLOOKUP(A180,'Orçamento Sintético'!$A:$H,4,0)</f>
        <v>Copia da SINAPI (88650) - Rodapé em porcelanato cinza claro acab. acetinado (peça 60x60cm) - corte 15x60, Biancogres Cemento Grigio</v>
      </c>
      <c r="E180" s="112" t="str">
        <f>VLOOKUP(A180,'Orçamento Sintético'!$A:$H,5,0)</f>
        <v>m</v>
      </c>
      <c r="F180" s="124"/>
      <c r="G180" s="114"/>
      <c r="H180" s="114">
        <f>SUM(H181:H185)</f>
        <v>33.63</v>
      </c>
    </row>
    <row r="181" spans="1:8" ht="12.75">
      <c r="A181" s="115" t="str">
        <f>VLOOKUP(B181,'Insumos e Serviços'!$A:$F,3,0)</f>
        <v>Composição</v>
      </c>
      <c r="B181" s="116" t="s">
        <v>225</v>
      </c>
      <c r="C181" s="116" t="str">
        <f>VLOOKUP(B181,'Insumos e Serviços'!$A:$F,2,0)</f>
        <v>SINAPI</v>
      </c>
      <c r="D181" s="117" t="str">
        <f>VLOOKUP(B181,'Insumos e Serviços'!$A:$F,4,0)</f>
        <v>AZULEJISTA OU LADRILHISTA COM ENCARGOS COMPLEMENTARES</v>
      </c>
      <c r="E181" s="116" t="str">
        <f>VLOOKUP(B181,'Insumos e Serviços'!$A:$F,5,0)</f>
        <v>H</v>
      </c>
      <c r="F181" s="125">
        <v>0.1275</v>
      </c>
      <c r="G181" s="118">
        <f>VLOOKUP(B181,'Insumos e Serviços'!$A:$F,6,0)</f>
        <v>25</v>
      </c>
      <c r="H181" s="118">
        <f>TRUNC(F181*G181,2)</f>
        <v>3.18</v>
      </c>
    </row>
    <row r="182" spans="1:8" ht="12.75">
      <c r="A182" s="115" t="str">
        <f>VLOOKUP(B182,'Insumos e Serviços'!$A:$F,3,0)</f>
        <v>Composição</v>
      </c>
      <c r="B182" s="116" t="s">
        <v>200</v>
      </c>
      <c r="C182" s="116" t="str">
        <f>VLOOKUP(B182,'Insumos e Serviços'!$A:$F,2,0)</f>
        <v>SINAPI</v>
      </c>
      <c r="D182" s="117" t="str">
        <f>VLOOKUP(B182,'Insumos e Serviços'!$A:$F,4,0)</f>
        <v>SERVENTE COM ENCARGOS COMPLEMENTARES</v>
      </c>
      <c r="E182" s="116" t="str">
        <f>VLOOKUP(B182,'Insumos e Serviços'!$A:$F,5,0)</f>
        <v>H</v>
      </c>
      <c r="F182" s="125">
        <v>0.0465</v>
      </c>
      <c r="G182" s="118">
        <f>VLOOKUP(B182,'Insumos e Serviços'!$A:$F,6,0)</f>
        <v>18.65</v>
      </c>
      <c r="H182" s="118">
        <f>TRUNC(F182*G182,2)</f>
        <v>0.86</v>
      </c>
    </row>
    <row r="183" spans="1:8" ht="12.75">
      <c r="A183" s="115" t="str">
        <f>VLOOKUP(B183,'Insumos e Serviços'!$A:$F,3,0)</f>
        <v>Insumo</v>
      </c>
      <c r="B183" s="116" t="s">
        <v>1090</v>
      </c>
      <c r="C183" s="116" t="str">
        <f>VLOOKUP(B183,'Insumos e Serviços'!$A:$F,2,0)</f>
        <v>SINAPI</v>
      </c>
      <c r="D183" s="117" t="str">
        <f>VLOOKUP(B183,'Insumos e Serviços'!$A:$F,4,0)</f>
        <v>REJUNTE CIMENTICIO, QUALQUER COR</v>
      </c>
      <c r="E183" s="116" t="str">
        <f>VLOOKUP(B183,'Insumos e Serviços'!$A:$F,5,0)</f>
        <v>KG</v>
      </c>
      <c r="F183" s="125">
        <v>0.36</v>
      </c>
      <c r="G183" s="118">
        <f>VLOOKUP(B183,'Insumos e Serviços'!$A:$F,6,0)</f>
        <v>2.93</v>
      </c>
      <c r="H183" s="118">
        <f>TRUNC(F183*G183,2)</f>
        <v>1.05</v>
      </c>
    </row>
    <row r="184" spans="1:8" ht="12.75">
      <c r="A184" s="115" t="str">
        <f>VLOOKUP(B184,'Insumos e Serviços'!$A:$F,3,0)</f>
        <v>Insumo</v>
      </c>
      <c r="B184" s="116" t="s">
        <v>234</v>
      </c>
      <c r="C184" s="116" t="str">
        <f>VLOOKUP(B184,'Insumos e Serviços'!$A:$F,2,0)</f>
        <v>SINAPI</v>
      </c>
      <c r="D184" s="117" t="str">
        <f>VLOOKUP(B184,'Insumos e Serviços'!$A:$F,4,0)</f>
        <v>ARGAMASSA COLANTE AC II</v>
      </c>
      <c r="E184" s="116" t="str">
        <f>VLOOKUP(B184,'Insumos e Serviços'!$A:$F,5,0)</f>
        <v>KG</v>
      </c>
      <c r="F184" s="125">
        <v>2.5842</v>
      </c>
      <c r="G184" s="118">
        <f>VLOOKUP(B184,'Insumos e Serviços'!$A:$F,6,0)</f>
        <v>0.93</v>
      </c>
      <c r="H184" s="118">
        <f>TRUNC(F184*G184,2)</f>
        <v>2.4</v>
      </c>
    </row>
    <row r="185" spans="1:8" ht="13.5" thickBot="1">
      <c r="A185" s="115" t="str">
        <f>VLOOKUP(B185,'Insumos e Serviços'!$A:$F,3,0)</f>
        <v>Insumo</v>
      </c>
      <c r="B185" s="116" t="s">
        <v>514</v>
      </c>
      <c r="C185" s="116" t="str">
        <f>VLOOKUP(B185,'Insumos e Serviços'!$A:$F,2,0)</f>
        <v>Próprio</v>
      </c>
      <c r="D185" s="117" t="str">
        <f>VLOOKUP(B185,'Insumos e Serviços'!$A:$F,4,0)</f>
        <v>Porcelanato cinza claro, acab. acetindo 60x60cm, Biancogrês Cemento Grigio</v>
      </c>
      <c r="E185" s="116" t="str">
        <f>VLOOKUP(B185,'Insumos e Serviços'!$A:$F,5,0)</f>
        <v>m²</v>
      </c>
      <c r="F185" s="125">
        <v>0.376</v>
      </c>
      <c r="G185" s="118">
        <f>VLOOKUP(B185,'Insumos e Serviços'!$A:$F,6,0)</f>
        <v>69.54</v>
      </c>
      <c r="H185" s="118">
        <f>TRUNC(F185*G185,2)</f>
        <v>26.14</v>
      </c>
    </row>
    <row r="186" spans="1:8" ht="13.5" thickTop="1">
      <c r="A186" s="119"/>
      <c r="B186" s="119"/>
      <c r="C186" s="119"/>
      <c r="D186" s="119"/>
      <c r="E186" s="119"/>
      <c r="F186" s="126"/>
      <c r="G186" s="119"/>
      <c r="H186" s="119"/>
    </row>
    <row r="187" spans="1:8" ht="12.75">
      <c r="A187" s="108" t="s">
        <v>713</v>
      </c>
      <c r="B187" s="109"/>
      <c r="C187" s="109"/>
      <c r="D187" s="108" t="str">
        <f>VLOOKUP(A187,'Orçamento Sintético'!$A:$H,4,0)</f>
        <v>Revestimentos de paredes</v>
      </c>
      <c r="E187" s="109"/>
      <c r="F187" s="123"/>
      <c r="G187" s="108"/>
      <c r="H187" s="110"/>
    </row>
    <row r="188" spans="1:8" ht="22.5">
      <c r="A188" s="111" t="s">
        <v>717</v>
      </c>
      <c r="B188" s="112" t="str">
        <f>VLOOKUP(A188,'Orçamento Sintético'!$A:$H,2,0)</f>
        <v> MPDFT1049 </v>
      </c>
      <c r="C188" s="112" t="str">
        <f>VLOOKUP(A188,'Orçamento Sintético'!$A:$H,3,0)</f>
        <v>Próprio</v>
      </c>
      <c r="D188" s="113" t="str">
        <f>VLOOKUP(A188,'Orçamento Sintético'!$A:$H,4,0)</f>
        <v>Cópia Caern (1100165) - Laminado melamínico, acabamento texturizado, Polar, espessura 1,3mm, referência L190, fab. Fórmica</v>
      </c>
      <c r="E188" s="112" t="str">
        <f>VLOOKUP(A188,'Orçamento Sintético'!$A:$H,5,0)</f>
        <v>m²</v>
      </c>
      <c r="F188" s="124"/>
      <c r="G188" s="114"/>
      <c r="H188" s="114">
        <f>SUM(H189:H192)</f>
        <v>182.15</v>
      </c>
    </row>
    <row r="189" spans="1:8" ht="12.75">
      <c r="A189" s="115" t="str">
        <f>VLOOKUP(B189,'Insumos e Serviços'!$A:$F,3,0)</f>
        <v>Composição</v>
      </c>
      <c r="B189" s="116" t="s">
        <v>202</v>
      </c>
      <c r="C189" s="116" t="str">
        <f>VLOOKUP(B189,'Insumos e Serviços'!$A:$F,2,0)</f>
        <v>SINAPI</v>
      </c>
      <c r="D189" s="117" t="str">
        <f>VLOOKUP(B189,'Insumos e Serviços'!$A:$F,4,0)</f>
        <v>AJUDANTE DE CARPINTEIRO COM ENCARGOS COMPLEMENTARES</v>
      </c>
      <c r="E189" s="116" t="str">
        <f>VLOOKUP(B189,'Insumos e Serviços'!$A:$F,5,0)</f>
        <v>H</v>
      </c>
      <c r="F189" s="125">
        <v>0.6</v>
      </c>
      <c r="G189" s="118">
        <f>VLOOKUP(B189,'Insumos e Serviços'!$A:$F,6,0)</f>
        <v>19.73</v>
      </c>
      <c r="H189" s="118">
        <f>TRUNC(F189*G189,2)</f>
        <v>11.83</v>
      </c>
    </row>
    <row r="190" spans="1:8" ht="12.75">
      <c r="A190" s="115" t="str">
        <f>VLOOKUP(B190,'Insumos e Serviços'!$A:$F,3,0)</f>
        <v>Composição</v>
      </c>
      <c r="B190" s="116" t="s">
        <v>1043</v>
      </c>
      <c r="C190" s="116" t="str">
        <f>VLOOKUP(B190,'Insumos e Serviços'!$A:$F,2,0)</f>
        <v>SINAPI</v>
      </c>
      <c r="D190" s="117" t="str">
        <f>VLOOKUP(B190,'Insumos e Serviços'!$A:$F,4,0)</f>
        <v>CARPINTEIRO DE ESQUADRIA COM ENCARGOS COMPLEMENTARES</v>
      </c>
      <c r="E190" s="116" t="str">
        <f>VLOOKUP(B190,'Insumos e Serviços'!$A:$F,5,0)</f>
        <v>H</v>
      </c>
      <c r="F190" s="125">
        <v>0.18</v>
      </c>
      <c r="G190" s="118">
        <f>VLOOKUP(B190,'Insumos e Serviços'!$A:$F,6,0)</f>
        <v>23.82</v>
      </c>
      <c r="H190" s="118">
        <f>TRUNC(F190*G190,2)</f>
        <v>4.28</v>
      </c>
    </row>
    <row r="191" spans="1:8" ht="12.75">
      <c r="A191" s="115" t="str">
        <f>VLOOKUP(B191,'Insumos e Serviços'!$A:$F,3,0)</f>
        <v>Insumo</v>
      </c>
      <c r="B191" s="116" t="s">
        <v>1094</v>
      </c>
      <c r="C191" s="116" t="str">
        <f>VLOOKUP(B191,'Insumos e Serviços'!$A:$F,2,0)</f>
        <v>SINAPI</v>
      </c>
      <c r="D191" s="117" t="str">
        <f>VLOOKUP(B191,'Insumos e Serviços'!$A:$F,4,0)</f>
        <v>ADESIVO ACRILICO/COLA DE CONTATO</v>
      </c>
      <c r="E191" s="116" t="str">
        <f>VLOOKUP(B191,'Insumos e Serviços'!$A:$F,5,0)</f>
        <v>KG</v>
      </c>
      <c r="F191" s="125">
        <v>0.9</v>
      </c>
      <c r="G191" s="118">
        <f>VLOOKUP(B191,'Insumos e Serviços'!$A:$F,6,0)</f>
        <v>48.16</v>
      </c>
      <c r="H191" s="118">
        <f>TRUNC(F191*G191,2)</f>
        <v>43.34</v>
      </c>
    </row>
    <row r="192" spans="1:8" ht="23.25" thickBot="1">
      <c r="A192" s="115" t="str">
        <f>VLOOKUP(B192,'Insumos e Serviços'!$A:$F,3,0)</f>
        <v>Insumo</v>
      </c>
      <c r="B192" s="116" t="s">
        <v>438</v>
      </c>
      <c r="C192" s="116" t="str">
        <f>VLOOKUP(B192,'Insumos e Serviços'!$A:$F,2,0)</f>
        <v>Próprio</v>
      </c>
      <c r="D192" s="117" t="str">
        <f>VLOOKUP(B192,'Insumos e Serviços'!$A:$F,4,0)</f>
        <v>Laminado melamínico, acabamento texturizado, cor branca, espessura 1,3mm, referência L190, fab. Fórmica</v>
      </c>
      <c r="E192" s="116" t="str">
        <f>VLOOKUP(B192,'Insumos e Serviços'!$A:$F,5,0)</f>
        <v>m²</v>
      </c>
      <c r="F192" s="125">
        <v>1.05</v>
      </c>
      <c r="G192" s="118">
        <f>VLOOKUP(B192,'Insumos e Serviços'!$A:$F,6,0)</f>
        <v>116.86</v>
      </c>
      <c r="H192" s="118">
        <f>TRUNC(F192*G192,2)</f>
        <v>122.7</v>
      </c>
    </row>
    <row r="193" spans="1:8" ht="13.5" thickTop="1">
      <c r="A193" s="119"/>
      <c r="B193" s="119"/>
      <c r="C193" s="119"/>
      <c r="D193" s="119"/>
      <c r="E193" s="119"/>
      <c r="F193" s="126"/>
      <c r="G193" s="119"/>
      <c r="H193" s="119"/>
    </row>
    <row r="194" spans="1:8" ht="22.5">
      <c r="A194" s="111" t="s">
        <v>720</v>
      </c>
      <c r="B194" s="112" t="str">
        <f>VLOOKUP(A194,'Orçamento Sintético'!$A:$H,2,0)</f>
        <v> MPDFT1593 </v>
      </c>
      <c r="C194" s="112" t="str">
        <f>VLOOKUP(A194,'Orçamento Sintético'!$A:$H,3,0)</f>
        <v>Próprio</v>
      </c>
      <c r="D194" s="113" t="str">
        <f>VLOOKUP(A194,'Orçamento Sintético'!$A:$H,4,0)</f>
        <v>Cópia Caern (1100165) - Mão de obra de instalação de laminado melamínico, espessura 1,3mm,  inclusive adesivo</v>
      </c>
      <c r="E194" s="112" t="str">
        <f>VLOOKUP(A194,'Orçamento Sintético'!$A:$H,5,0)</f>
        <v>m²</v>
      </c>
      <c r="F194" s="124"/>
      <c r="G194" s="114"/>
      <c r="H194" s="114">
        <f>SUM(H195:H197)</f>
        <v>59.45</v>
      </c>
    </row>
    <row r="195" spans="1:8" ht="12.75">
      <c r="A195" s="115" t="str">
        <f>VLOOKUP(B195,'Insumos e Serviços'!$A:$F,3,0)</f>
        <v>Composição</v>
      </c>
      <c r="B195" s="116" t="s">
        <v>202</v>
      </c>
      <c r="C195" s="116" t="str">
        <f>VLOOKUP(B195,'Insumos e Serviços'!$A:$F,2,0)</f>
        <v>SINAPI</v>
      </c>
      <c r="D195" s="117" t="str">
        <f>VLOOKUP(B195,'Insumos e Serviços'!$A:$F,4,0)</f>
        <v>AJUDANTE DE CARPINTEIRO COM ENCARGOS COMPLEMENTARES</v>
      </c>
      <c r="E195" s="116" t="str">
        <f>VLOOKUP(B195,'Insumos e Serviços'!$A:$F,5,0)</f>
        <v>H</v>
      </c>
      <c r="F195" s="125">
        <v>0.6</v>
      </c>
      <c r="G195" s="118">
        <f>VLOOKUP(B195,'Insumos e Serviços'!$A:$F,6,0)</f>
        <v>19.73</v>
      </c>
      <c r="H195" s="118">
        <f>TRUNC(F195*G195,2)</f>
        <v>11.83</v>
      </c>
    </row>
    <row r="196" spans="1:8" ht="12.75">
      <c r="A196" s="115" t="str">
        <f>VLOOKUP(B196,'Insumos e Serviços'!$A:$F,3,0)</f>
        <v>Composição</v>
      </c>
      <c r="B196" s="116" t="s">
        <v>1043</v>
      </c>
      <c r="C196" s="116" t="str">
        <f>VLOOKUP(B196,'Insumos e Serviços'!$A:$F,2,0)</f>
        <v>SINAPI</v>
      </c>
      <c r="D196" s="117" t="str">
        <f>VLOOKUP(B196,'Insumos e Serviços'!$A:$F,4,0)</f>
        <v>CARPINTEIRO DE ESQUADRIA COM ENCARGOS COMPLEMENTARES</v>
      </c>
      <c r="E196" s="116" t="str">
        <f>VLOOKUP(B196,'Insumos e Serviços'!$A:$F,5,0)</f>
        <v>H</v>
      </c>
      <c r="F196" s="125">
        <v>0.18</v>
      </c>
      <c r="G196" s="118">
        <f>VLOOKUP(B196,'Insumos e Serviços'!$A:$F,6,0)</f>
        <v>23.82</v>
      </c>
      <c r="H196" s="118">
        <f>TRUNC(F196*G196,2)</f>
        <v>4.28</v>
      </c>
    </row>
    <row r="197" spans="1:8" ht="13.5" thickBot="1">
      <c r="A197" s="115" t="str">
        <f>VLOOKUP(B197,'Insumos e Serviços'!$A:$F,3,0)</f>
        <v>Insumo</v>
      </c>
      <c r="B197" s="116" t="s">
        <v>1094</v>
      </c>
      <c r="C197" s="116" t="str">
        <f>VLOOKUP(B197,'Insumos e Serviços'!$A:$F,2,0)</f>
        <v>SINAPI</v>
      </c>
      <c r="D197" s="117" t="str">
        <f>VLOOKUP(B197,'Insumos e Serviços'!$A:$F,4,0)</f>
        <v>ADESIVO ACRILICO/COLA DE CONTATO</v>
      </c>
      <c r="E197" s="116" t="str">
        <f>VLOOKUP(B197,'Insumos e Serviços'!$A:$F,5,0)</f>
        <v>KG</v>
      </c>
      <c r="F197" s="125">
        <v>0.9</v>
      </c>
      <c r="G197" s="118">
        <f>VLOOKUP(B197,'Insumos e Serviços'!$A:$F,6,0)</f>
        <v>48.16</v>
      </c>
      <c r="H197" s="118">
        <f>TRUNC(F197*G197,2)</f>
        <v>43.34</v>
      </c>
    </row>
    <row r="198" spans="1:8" ht="13.5" thickTop="1">
      <c r="A198" s="119"/>
      <c r="B198" s="119"/>
      <c r="C198" s="119"/>
      <c r="D198" s="119"/>
      <c r="E198" s="119"/>
      <c r="F198" s="126"/>
      <c r="G198" s="119"/>
      <c r="H198" s="119"/>
    </row>
    <row r="199" spans="1:8" ht="33.75">
      <c r="A199" s="111" t="s">
        <v>723</v>
      </c>
      <c r="B199" s="112" t="str">
        <f>VLOOKUP(A199,'Orçamento Sintético'!$A:$H,2,0)</f>
        <v> MPDFT1606 </v>
      </c>
      <c r="C199" s="112" t="str">
        <f>VLOOKUP(A199,'Orçamento Sintético'!$A:$H,3,0)</f>
        <v>Próprio</v>
      </c>
      <c r="D199" s="113" t="str">
        <f>VLOOKUP(A199,'Orçamento Sintético'!$A:$H,4,0)</f>
        <v>Cópia SINAPI (87242) - Mão de obra para execução de pastilha de porcelana 5,0x5,0cm, assentada com argamassa pré-fabricada, incluindo rejuntamento</v>
      </c>
      <c r="E199" s="112" t="str">
        <f>VLOOKUP(A199,'Orçamento Sintético'!$A:$H,5,0)</f>
        <v>m²</v>
      </c>
      <c r="F199" s="124"/>
      <c r="G199" s="114"/>
      <c r="H199" s="114">
        <f>SUM(H200:H202)</f>
        <v>56.129999999999995</v>
      </c>
    </row>
    <row r="200" spans="1:8" ht="12.75">
      <c r="A200" s="115" t="str">
        <f>VLOOKUP(B200,'Insumos e Serviços'!$A:$F,3,0)</f>
        <v>Composição</v>
      </c>
      <c r="B200" s="116" t="s">
        <v>225</v>
      </c>
      <c r="C200" s="116" t="str">
        <f>VLOOKUP(B200,'Insumos e Serviços'!$A:$F,2,0)</f>
        <v>SINAPI</v>
      </c>
      <c r="D200" s="117" t="str">
        <f>VLOOKUP(B200,'Insumos e Serviços'!$A:$F,4,0)</f>
        <v>AZULEJISTA OU LADRILHISTA COM ENCARGOS COMPLEMENTARES</v>
      </c>
      <c r="E200" s="116" t="str">
        <f>VLOOKUP(B200,'Insumos e Serviços'!$A:$F,5,0)</f>
        <v>H</v>
      </c>
      <c r="F200" s="125">
        <v>1.29</v>
      </c>
      <c r="G200" s="118">
        <f>VLOOKUP(B200,'Insumos e Serviços'!$A:$F,6,0)</f>
        <v>25</v>
      </c>
      <c r="H200" s="118">
        <f>TRUNC(F200*G200,2)</f>
        <v>32.25</v>
      </c>
    </row>
    <row r="201" spans="1:8" ht="12.75">
      <c r="A201" s="115" t="str">
        <f>VLOOKUP(B201,'Insumos e Serviços'!$A:$F,3,0)</f>
        <v>Composição</v>
      </c>
      <c r="B201" s="116" t="s">
        <v>200</v>
      </c>
      <c r="C201" s="116" t="str">
        <f>VLOOKUP(B201,'Insumos e Serviços'!$A:$F,2,0)</f>
        <v>SINAPI</v>
      </c>
      <c r="D201" s="117" t="str">
        <f>VLOOKUP(B201,'Insumos e Serviços'!$A:$F,4,0)</f>
        <v>SERVENTE COM ENCARGOS COMPLEMENTARES</v>
      </c>
      <c r="E201" s="116" t="str">
        <f>VLOOKUP(B201,'Insumos e Serviços'!$A:$F,5,0)</f>
        <v>H</v>
      </c>
      <c r="F201" s="125">
        <v>0.65</v>
      </c>
      <c r="G201" s="118">
        <f>VLOOKUP(B201,'Insumos e Serviços'!$A:$F,6,0)</f>
        <v>18.65</v>
      </c>
      <c r="H201" s="118">
        <f>TRUNC(F201*G201,2)</f>
        <v>12.12</v>
      </c>
    </row>
    <row r="202" spans="1:8" ht="13.5" thickBot="1">
      <c r="A202" s="115" t="str">
        <f>VLOOKUP(B202,'Insumos e Serviços'!$A:$F,3,0)</f>
        <v>Insumo</v>
      </c>
      <c r="B202" s="116" t="s">
        <v>1092</v>
      </c>
      <c r="C202" s="116" t="str">
        <f>VLOOKUP(B202,'Insumos e Serviços'!$A:$F,2,0)</f>
        <v>SINAPI</v>
      </c>
      <c r="D202" s="117" t="str">
        <f>VLOOKUP(B202,'Insumos e Serviços'!$A:$F,4,0)</f>
        <v>ARGAMASSA COLANTE TIPO AC III</v>
      </c>
      <c r="E202" s="116" t="str">
        <f>VLOOKUP(B202,'Insumos e Serviços'!$A:$F,5,0)</f>
        <v>KG</v>
      </c>
      <c r="F202" s="125">
        <v>7.69</v>
      </c>
      <c r="G202" s="118">
        <f>VLOOKUP(B202,'Insumos e Serviços'!$A:$F,6,0)</f>
        <v>1.53</v>
      </c>
      <c r="H202" s="118">
        <f>TRUNC(F202*G202,2)</f>
        <v>11.76</v>
      </c>
    </row>
    <row r="203" spans="1:8" ht="13.5" thickTop="1">
      <c r="A203" s="119"/>
      <c r="B203" s="119"/>
      <c r="C203" s="119"/>
      <c r="D203" s="119"/>
      <c r="E203" s="119"/>
      <c r="F203" s="126"/>
      <c r="G203" s="119"/>
      <c r="H203" s="119"/>
    </row>
    <row r="204" spans="1:8" ht="33.75">
      <c r="A204" s="111" t="s">
        <v>726</v>
      </c>
      <c r="B204" s="112" t="str">
        <f>VLOOKUP(A204,'Orçamento Sintético'!$A:$H,2,0)</f>
        <v> MPDFT1607 </v>
      </c>
      <c r="C204" s="112" t="str">
        <f>VLOOKUP(A204,'Orçamento Sintético'!$A:$H,3,0)</f>
        <v>Próprio</v>
      </c>
      <c r="D204" s="113" t="str">
        <f>VLOOKUP(A204,'Orçamento Sintético'!$A:$H,4,0)</f>
        <v>Copia - Copia da SINAPI (87269) - Cerâmica branca 32,5x59cm, assentada com argamassa pré-fabricada, incluindo rejuntamento Eliane Foma Branco acetinado</v>
      </c>
      <c r="E204" s="112" t="str">
        <f>VLOOKUP(A204,'Orçamento Sintético'!$A:$H,5,0)</f>
        <v>m²</v>
      </c>
      <c r="F204" s="124"/>
      <c r="G204" s="114"/>
      <c r="H204" s="114">
        <f>SUM(H205:H210)</f>
        <v>134.9</v>
      </c>
    </row>
    <row r="205" spans="1:8" ht="12.75">
      <c r="A205" s="115" t="str">
        <f>VLOOKUP(B205,'Insumos e Serviços'!$A:$F,3,0)</f>
        <v>Composição</v>
      </c>
      <c r="B205" s="116" t="s">
        <v>225</v>
      </c>
      <c r="C205" s="116" t="str">
        <f>VLOOKUP(B205,'Insumos e Serviços'!$A:$F,2,0)</f>
        <v>SINAPI</v>
      </c>
      <c r="D205" s="117" t="str">
        <f>VLOOKUP(B205,'Insumos e Serviços'!$A:$F,4,0)</f>
        <v>AZULEJISTA OU LADRILHISTA COM ENCARGOS COMPLEMENTARES</v>
      </c>
      <c r="E205" s="116" t="str">
        <f>VLOOKUP(B205,'Insumos e Serviços'!$A:$F,5,0)</f>
        <v>H</v>
      </c>
      <c r="F205" s="125">
        <v>0.61</v>
      </c>
      <c r="G205" s="118">
        <f>VLOOKUP(B205,'Insumos e Serviços'!$A:$F,6,0)</f>
        <v>25</v>
      </c>
      <c r="H205" s="118">
        <f aca="true" t="shared" si="6" ref="H205:H210">TRUNC(F205*G205,2)</f>
        <v>15.25</v>
      </c>
    </row>
    <row r="206" spans="1:8" ht="12.75">
      <c r="A206" s="115" t="str">
        <f>VLOOKUP(B206,'Insumos e Serviços'!$A:$F,3,0)</f>
        <v>Composição</v>
      </c>
      <c r="B206" s="116" t="s">
        <v>200</v>
      </c>
      <c r="C206" s="116" t="str">
        <f>VLOOKUP(B206,'Insumos e Serviços'!$A:$F,2,0)</f>
        <v>SINAPI</v>
      </c>
      <c r="D206" s="117" t="str">
        <f>VLOOKUP(B206,'Insumos e Serviços'!$A:$F,4,0)</f>
        <v>SERVENTE COM ENCARGOS COMPLEMENTARES</v>
      </c>
      <c r="E206" s="116" t="str">
        <f>VLOOKUP(B206,'Insumos e Serviços'!$A:$F,5,0)</f>
        <v>H</v>
      </c>
      <c r="F206" s="125">
        <v>0.34</v>
      </c>
      <c r="G206" s="118">
        <f>VLOOKUP(B206,'Insumos e Serviços'!$A:$F,6,0)</f>
        <v>18.65</v>
      </c>
      <c r="H206" s="118">
        <f t="shared" si="6"/>
        <v>6.34</v>
      </c>
    </row>
    <row r="207" spans="1:8" ht="22.5">
      <c r="A207" s="115" t="str">
        <f>VLOOKUP(B207,'Insumos e Serviços'!$A:$F,3,0)</f>
        <v>Insumo</v>
      </c>
      <c r="B207" s="116" t="s">
        <v>1096</v>
      </c>
      <c r="C207" s="116" t="str">
        <f>VLOOKUP(B207,'Insumos e Serviços'!$A:$F,2,0)</f>
        <v>SINAPI</v>
      </c>
      <c r="D207" s="117" t="str">
        <f>VLOOKUP(B207,'Insumos e Serviços'!$A:$F,4,0)</f>
        <v>REVESTIMENTO EM CERAMICA ESMALTADA EXTRA, PEI MENOR OU IGUAL A 3, FORMATO MENOR OU IGUAL A 2025 CM2</v>
      </c>
      <c r="E207" s="116" t="str">
        <f>VLOOKUP(B207,'Insumos e Serviços'!$A:$F,5,0)</f>
        <v>m²</v>
      </c>
      <c r="F207" s="125">
        <v>1.07</v>
      </c>
      <c r="G207" s="118">
        <f>VLOOKUP(B207,'Insumos e Serviços'!$A:$F,6,0)</f>
        <v>29.49</v>
      </c>
      <c r="H207" s="118">
        <f t="shared" si="6"/>
        <v>31.55</v>
      </c>
    </row>
    <row r="208" spans="1:8" ht="12.75">
      <c r="A208" s="115" t="str">
        <f>VLOOKUP(B208,'Insumos e Serviços'!$A:$F,3,0)</f>
        <v>Insumo</v>
      </c>
      <c r="B208" s="116" t="s">
        <v>1098</v>
      </c>
      <c r="C208" s="116" t="str">
        <f>VLOOKUP(B208,'Insumos e Serviços'!$A:$F,2,0)</f>
        <v>SINAPI</v>
      </c>
      <c r="D208" s="117" t="str">
        <f>VLOOKUP(B208,'Insumos e Serviços'!$A:$F,4,0)</f>
        <v>ARGAMASSA COLANTE AC I PARA CERAMICAS</v>
      </c>
      <c r="E208" s="116" t="str">
        <f>VLOOKUP(B208,'Insumos e Serviços'!$A:$F,5,0)</f>
        <v>KG</v>
      </c>
      <c r="F208" s="125">
        <v>4.86</v>
      </c>
      <c r="G208" s="118">
        <f>VLOOKUP(B208,'Insumos e Serviços'!$A:$F,6,0)</f>
        <v>0.5</v>
      </c>
      <c r="H208" s="118">
        <f t="shared" si="6"/>
        <v>2.43</v>
      </c>
    </row>
    <row r="209" spans="1:8" ht="12.75">
      <c r="A209" s="115" t="str">
        <f>VLOOKUP(B209,'Insumos e Serviços'!$A:$F,3,0)</f>
        <v>Insumo</v>
      </c>
      <c r="B209" s="116" t="s">
        <v>1090</v>
      </c>
      <c r="C209" s="116" t="str">
        <f>VLOOKUP(B209,'Insumos e Serviços'!$A:$F,2,0)</f>
        <v>SINAPI</v>
      </c>
      <c r="D209" s="117" t="str">
        <f>VLOOKUP(B209,'Insumos e Serviços'!$A:$F,4,0)</f>
        <v>REJUNTE CIMENTICIO, QUALQUER COR</v>
      </c>
      <c r="E209" s="116" t="str">
        <f>VLOOKUP(B209,'Insumos e Serviços'!$A:$F,5,0)</f>
        <v>KG</v>
      </c>
      <c r="F209" s="125">
        <v>0.29</v>
      </c>
      <c r="G209" s="118">
        <f>VLOOKUP(B209,'Insumos e Serviços'!$A:$F,6,0)</f>
        <v>2.93</v>
      </c>
      <c r="H209" s="118">
        <f t="shared" si="6"/>
        <v>0.84</v>
      </c>
    </row>
    <row r="210" spans="1:8" ht="23.25" thickBot="1">
      <c r="A210" s="115" t="str">
        <f>VLOOKUP(B210,'Insumos e Serviços'!$A:$F,3,0)</f>
        <v>Insumo</v>
      </c>
      <c r="B210" s="116" t="s">
        <v>518</v>
      </c>
      <c r="C210" s="116" t="str">
        <f>VLOOKUP(B210,'Insumos e Serviços'!$A:$F,2,0)</f>
        <v>Próprio</v>
      </c>
      <c r="D210" s="117" t="str">
        <f>VLOOKUP(B210,'Insumos e Serviços'!$A:$F,4,0)</f>
        <v>Cerâmica branca 32,5x59cm, assentada com argamassa pré-fabricada, incluindo rejuntamento -  Fab. Eliane Foma Branco acetinado</v>
      </c>
      <c r="E210" s="116" t="str">
        <f>VLOOKUP(B210,'Insumos e Serviços'!$A:$F,5,0)</f>
        <v>m²</v>
      </c>
      <c r="F210" s="125">
        <v>1.07</v>
      </c>
      <c r="G210" s="118">
        <f>VLOOKUP(B210,'Insumos e Serviços'!$A:$F,6,0)</f>
        <v>73.36</v>
      </c>
      <c r="H210" s="118">
        <f t="shared" si="6"/>
        <v>78.49</v>
      </c>
    </row>
    <row r="211" spans="1:8" ht="13.5" thickTop="1">
      <c r="A211" s="119"/>
      <c r="B211" s="119"/>
      <c r="C211" s="119"/>
      <c r="D211" s="119"/>
      <c r="E211" s="119"/>
      <c r="F211" s="126"/>
      <c r="G211" s="119"/>
      <c r="H211" s="119"/>
    </row>
    <row r="212" spans="1:8" ht="33.75">
      <c r="A212" s="111" t="s">
        <v>729</v>
      </c>
      <c r="B212" s="112" t="str">
        <f>VLOOKUP(A212,'Orçamento Sintético'!$A:$H,2,0)</f>
        <v> MPDFT1608 </v>
      </c>
      <c r="C212" s="112" t="str">
        <f>VLOOKUP(A212,'Orçamento Sintético'!$A:$H,3,0)</f>
        <v>Próprio</v>
      </c>
      <c r="D212" s="113" t="str">
        <f>VLOOKUP(A212,'Orçamento Sintético'!$A:$H,4,0)</f>
        <v>Cópia SINAPI (87242) -  Pastilha cerâmica, 5x5, produto telado em 30,65x30,65, fab. Atlas B-2140 Branco, assentada com argamassa pré-fabricada, incluindo rejuntamento</v>
      </c>
      <c r="E212" s="112" t="str">
        <f>VLOOKUP(A212,'Orçamento Sintético'!$A:$H,5,0)</f>
        <v>m²</v>
      </c>
      <c r="F212" s="124"/>
      <c r="G212" s="114"/>
      <c r="H212" s="114">
        <f>SUM(H213:H216)</f>
        <v>183.61</v>
      </c>
    </row>
    <row r="213" spans="1:8" ht="12.75">
      <c r="A213" s="115" t="str">
        <f>VLOOKUP(B213,'Insumos e Serviços'!$A:$F,3,0)</f>
        <v>Composição</v>
      </c>
      <c r="B213" s="116" t="s">
        <v>225</v>
      </c>
      <c r="C213" s="116" t="str">
        <f>VLOOKUP(B213,'Insumos e Serviços'!$A:$F,2,0)</f>
        <v>SINAPI</v>
      </c>
      <c r="D213" s="117" t="str">
        <f>VLOOKUP(B213,'Insumos e Serviços'!$A:$F,4,0)</f>
        <v>AZULEJISTA OU LADRILHISTA COM ENCARGOS COMPLEMENTARES</v>
      </c>
      <c r="E213" s="116" t="str">
        <f>VLOOKUP(B213,'Insumos e Serviços'!$A:$F,5,0)</f>
        <v>H</v>
      </c>
      <c r="F213" s="125">
        <v>1.29</v>
      </c>
      <c r="G213" s="118">
        <f>VLOOKUP(B213,'Insumos e Serviços'!$A:$F,6,0)</f>
        <v>25</v>
      </c>
      <c r="H213" s="118">
        <f>TRUNC(F213*G213,2)</f>
        <v>32.25</v>
      </c>
    </row>
    <row r="214" spans="1:8" ht="12.75">
      <c r="A214" s="115" t="str">
        <f>VLOOKUP(B214,'Insumos e Serviços'!$A:$F,3,0)</f>
        <v>Composição</v>
      </c>
      <c r="B214" s="116" t="s">
        <v>200</v>
      </c>
      <c r="C214" s="116" t="str">
        <f>VLOOKUP(B214,'Insumos e Serviços'!$A:$F,2,0)</f>
        <v>SINAPI</v>
      </c>
      <c r="D214" s="117" t="str">
        <f>VLOOKUP(B214,'Insumos e Serviços'!$A:$F,4,0)</f>
        <v>SERVENTE COM ENCARGOS COMPLEMENTARES</v>
      </c>
      <c r="E214" s="116" t="str">
        <f>VLOOKUP(B214,'Insumos e Serviços'!$A:$F,5,0)</f>
        <v>H</v>
      </c>
      <c r="F214" s="125">
        <v>0.65</v>
      </c>
      <c r="G214" s="118">
        <f>VLOOKUP(B214,'Insumos e Serviços'!$A:$F,6,0)</f>
        <v>18.65</v>
      </c>
      <c r="H214" s="118">
        <f>TRUNC(F214*G214,2)</f>
        <v>12.12</v>
      </c>
    </row>
    <row r="215" spans="1:8" ht="12.75">
      <c r="A215" s="115" t="str">
        <f>VLOOKUP(B215,'Insumos e Serviços'!$A:$F,3,0)</f>
        <v>Insumo</v>
      </c>
      <c r="B215" s="116" t="s">
        <v>1092</v>
      </c>
      <c r="C215" s="116" t="str">
        <f>VLOOKUP(B215,'Insumos e Serviços'!$A:$F,2,0)</f>
        <v>SINAPI</v>
      </c>
      <c r="D215" s="117" t="str">
        <f>VLOOKUP(B215,'Insumos e Serviços'!$A:$F,4,0)</f>
        <v>ARGAMASSA COLANTE TIPO AC III</v>
      </c>
      <c r="E215" s="116" t="str">
        <f>VLOOKUP(B215,'Insumos e Serviços'!$A:$F,5,0)</f>
        <v>KG</v>
      </c>
      <c r="F215" s="125">
        <v>7.69</v>
      </c>
      <c r="G215" s="118">
        <f>VLOOKUP(B215,'Insumos e Serviços'!$A:$F,6,0)</f>
        <v>1.53</v>
      </c>
      <c r="H215" s="118">
        <f>TRUNC(F215*G215,2)</f>
        <v>11.76</v>
      </c>
    </row>
    <row r="216" spans="1:8" ht="13.5" thickBot="1">
      <c r="A216" s="115" t="str">
        <f>VLOOKUP(B216,'Insumos e Serviços'!$A:$F,3,0)</f>
        <v>Insumo</v>
      </c>
      <c r="B216" s="116" t="s">
        <v>520</v>
      </c>
      <c r="C216" s="116" t="str">
        <f>VLOOKUP(B216,'Insumos e Serviços'!$A:$F,2,0)</f>
        <v>Próprio</v>
      </c>
      <c r="D216" s="117" t="str">
        <f>VLOOKUP(B216,'Insumos e Serviços'!$A:$F,4,0)</f>
        <v>Pastilha cerâmica, 5x5, produto telado em 30,65x30,65, fab. Atlas B-2140 Branco</v>
      </c>
      <c r="E216" s="116" t="str">
        <f>VLOOKUP(B216,'Insumos e Serviços'!$A:$F,5,0)</f>
        <v>m²</v>
      </c>
      <c r="F216" s="125">
        <v>1.16</v>
      </c>
      <c r="G216" s="118">
        <f>VLOOKUP(B216,'Insumos e Serviços'!$A:$F,6,0)</f>
        <v>109.9</v>
      </c>
      <c r="H216" s="118">
        <f>TRUNC(F216*G216,2)</f>
        <v>127.48</v>
      </c>
    </row>
    <row r="217" spans="1:8" ht="13.5" thickTop="1">
      <c r="A217" s="119"/>
      <c r="B217" s="119"/>
      <c r="C217" s="119"/>
      <c r="D217" s="119"/>
      <c r="E217" s="119"/>
      <c r="F217" s="126"/>
      <c r="G217" s="119"/>
      <c r="H217" s="119"/>
    </row>
    <row r="218" spans="1:8" ht="12.75">
      <c r="A218" s="108" t="s">
        <v>734</v>
      </c>
      <c r="B218" s="109"/>
      <c r="C218" s="109"/>
      <c r="D218" s="108" t="str">
        <f>VLOOKUP(A218,'Orçamento Sintético'!$A:$H,4,0)</f>
        <v>Revestimentos de forro</v>
      </c>
      <c r="E218" s="109"/>
      <c r="F218" s="123"/>
      <c r="G218" s="108"/>
      <c r="H218" s="110"/>
    </row>
    <row r="219" spans="1:8" ht="33.75">
      <c r="A219" s="111" t="s">
        <v>737</v>
      </c>
      <c r="B219" s="112" t="str">
        <f>VLOOKUP(A219,'Orçamento Sintético'!$A:$H,2,0)</f>
        <v> MPDFT0015 </v>
      </c>
      <c r="C219" s="112" t="str">
        <f>VLOOKUP(A219,'Orçamento Sintético'!$A:$H,3,0)</f>
        <v>Próprio</v>
      </c>
      <c r="D219" s="113" t="str">
        <f>VLOOKUP(A219,'Orçamento Sintético'!$A:$H,4,0)</f>
        <v>Copia da SINAPI (96121) - Perfil tabica fechada, lisa, formato z, em aço galvanizado natural, largura total na horizontal 40mm, para estrutura forro drywall</v>
      </c>
      <c r="E219" s="112" t="str">
        <f>VLOOKUP(A219,'Orçamento Sintético'!$A:$H,5,0)</f>
        <v>M</v>
      </c>
      <c r="F219" s="124"/>
      <c r="G219" s="114"/>
      <c r="H219" s="114">
        <f>SUM(H220:H223)</f>
        <v>13.68</v>
      </c>
    </row>
    <row r="220" spans="1:8" ht="12.75">
      <c r="A220" s="115" t="str">
        <f>VLOOKUP(B220,'Insumos e Serviços'!$A:$F,3,0)</f>
        <v>Composição</v>
      </c>
      <c r="B220" s="116" t="s">
        <v>218</v>
      </c>
      <c r="C220" s="116" t="str">
        <f>VLOOKUP(B220,'Insumos e Serviços'!$A:$F,2,0)</f>
        <v>SINAPI</v>
      </c>
      <c r="D220" s="117" t="str">
        <f>VLOOKUP(B220,'Insumos e Serviços'!$A:$F,4,0)</f>
        <v>MONTADOR DE ESTRUTURA METÁLICA COM ENCARGOS COMPLEMENTARES</v>
      </c>
      <c r="E220" s="116" t="str">
        <f>VLOOKUP(B220,'Insumos e Serviços'!$A:$F,5,0)</f>
        <v>H</v>
      </c>
      <c r="F220" s="125">
        <v>0.1468</v>
      </c>
      <c r="G220" s="118">
        <f>VLOOKUP(B220,'Insumos e Serviços'!$A:$F,6,0)</f>
        <v>19.1</v>
      </c>
      <c r="H220" s="118">
        <f>TRUNC(F220*G220,2)</f>
        <v>2.8</v>
      </c>
    </row>
    <row r="221" spans="1:8" ht="22.5">
      <c r="A221" s="115" t="str">
        <f>VLOOKUP(B221,'Insumos e Serviços'!$A:$F,3,0)</f>
        <v>Insumo</v>
      </c>
      <c r="B221" s="116" t="s">
        <v>1100</v>
      </c>
      <c r="C221" s="116" t="str">
        <f>VLOOKUP(B221,'Insumos e Serviços'!$A:$F,2,0)</f>
        <v>SINAPI</v>
      </c>
      <c r="D221" s="117" t="str">
        <f>VLOOKUP(B221,'Insumos e Serviços'!$A:$F,4,0)</f>
        <v>PARAFUSO DRY WALL, EM ACO ZINCADO, CABECA LENTILHA E PONTA BROCA (LB), LARGURA 4,2 MM, COMPRIMENTO 13 MM</v>
      </c>
      <c r="E221" s="116" t="str">
        <f>VLOOKUP(B221,'Insumos e Serviços'!$A:$F,5,0)</f>
        <v>UN</v>
      </c>
      <c r="F221" s="125">
        <v>0.5833</v>
      </c>
      <c r="G221" s="118">
        <f>VLOOKUP(B221,'Insumos e Serviços'!$A:$F,6,0)</f>
        <v>0.25</v>
      </c>
      <c r="H221" s="118">
        <f>TRUNC(F221*G221,2)</f>
        <v>0.14</v>
      </c>
    </row>
    <row r="222" spans="1:8" ht="22.5">
      <c r="A222" s="115" t="str">
        <f>VLOOKUP(B222,'Insumos e Serviços'!$A:$F,3,0)</f>
        <v>Insumo</v>
      </c>
      <c r="B222" s="116" t="s">
        <v>1102</v>
      </c>
      <c r="C222" s="116" t="str">
        <f>VLOOKUP(B222,'Insumos e Serviços'!$A:$F,2,0)</f>
        <v>SINAPI</v>
      </c>
      <c r="D222" s="117" t="str">
        <f>VLOOKUP(B222,'Insumos e Serviços'!$A:$F,4,0)</f>
        <v>PARAFUSO, AUTO ATARRACHANTE, CABECA CHATA, FENDA SIMPLES, 1/4 (6,35 MM) X 25 MM</v>
      </c>
      <c r="E222" s="116" t="str">
        <f>VLOOKUP(B222,'Insumos e Serviços'!$A:$F,5,0)</f>
        <v>CENTO</v>
      </c>
      <c r="F222" s="125">
        <v>0.0749</v>
      </c>
      <c r="G222" s="118">
        <f>VLOOKUP(B222,'Insumos e Serviços'!$A:$F,6,0)</f>
        <v>48.48</v>
      </c>
      <c r="H222" s="118">
        <f>TRUNC(F222*G222,2)</f>
        <v>3.63</v>
      </c>
    </row>
    <row r="223" spans="1:8" ht="34.5" thickBot="1">
      <c r="A223" s="115" t="str">
        <f>VLOOKUP(B223,'Insumos e Serviços'!$A:$F,3,0)</f>
        <v>Insumo</v>
      </c>
      <c r="B223" s="116" t="s">
        <v>1104</v>
      </c>
      <c r="C223" s="116" t="str">
        <f>VLOOKUP(B223,'Insumos e Serviços'!$A:$F,2,0)</f>
        <v>SINAPI</v>
      </c>
      <c r="D223" s="117" t="str">
        <f>VLOOKUP(B223,'Insumos e Serviços'!$A:$F,4,0)</f>
        <v>PERFIL TABICA FECHADA, LISA, FORMATO Z, EM ACO GALVANIZADO NATURAL, LARGURA TOTAL NA HORIZONTAL *40* MM, PARA ESTRUTURA FORRO DRYWALL</v>
      </c>
      <c r="E223" s="116" t="str">
        <f>VLOOKUP(B223,'Insumos e Serviços'!$A:$F,5,0)</f>
        <v>M</v>
      </c>
      <c r="F223" s="125">
        <v>1.1512</v>
      </c>
      <c r="G223" s="118">
        <f>VLOOKUP(B223,'Insumos e Serviços'!$A:$F,6,0)</f>
        <v>6.18</v>
      </c>
      <c r="H223" s="118">
        <f>TRUNC(F223*G223,2)</f>
        <v>7.11</v>
      </c>
    </row>
    <row r="224" spans="1:8" ht="13.5" thickTop="1">
      <c r="A224" s="119"/>
      <c r="B224" s="119"/>
      <c r="C224" s="119"/>
      <c r="D224" s="119"/>
      <c r="E224" s="119"/>
      <c r="F224" s="126"/>
      <c r="G224" s="119"/>
      <c r="H224" s="119"/>
    </row>
    <row r="225" spans="1:8" ht="12.75">
      <c r="A225" s="108" t="s">
        <v>740</v>
      </c>
      <c r="B225" s="109"/>
      <c r="C225" s="109"/>
      <c r="D225" s="108" t="str">
        <f>VLOOKUP(A225,'Orçamento Sintético'!$A:$H,4,0)</f>
        <v>Pinturas</v>
      </c>
      <c r="E225" s="109"/>
      <c r="F225" s="123"/>
      <c r="G225" s="108"/>
      <c r="H225" s="110"/>
    </row>
    <row r="226" spans="1:8" ht="22.5">
      <c r="A226" s="111" t="s">
        <v>747</v>
      </c>
      <c r="B226" s="112" t="str">
        <f>VLOOKUP(A226,'Orçamento Sintético'!$A:$H,2,0)</f>
        <v> MPDFT0022 </v>
      </c>
      <c r="C226" s="112" t="str">
        <f>VLOOKUP(A226,'Orçamento Sintético'!$A:$H,3,0)</f>
        <v>Próprio</v>
      </c>
      <c r="D226" s="113" t="str">
        <f>VLOOKUP(A226,'Orçamento Sintético'!$A:$H,4,0)</f>
        <v>Copia da SINAPI (84665) - Pintura de sinalização vertical em faixas amarelo e preto</v>
      </c>
      <c r="E226" s="112" t="str">
        <f>VLOOKUP(A226,'Orçamento Sintético'!$A:$H,5,0)</f>
        <v>m²</v>
      </c>
      <c r="F226" s="124"/>
      <c r="G226" s="114"/>
      <c r="H226" s="114">
        <f>SUM(H227:H229)</f>
        <v>25.61</v>
      </c>
    </row>
    <row r="227" spans="1:8" ht="12.75">
      <c r="A227" s="115" t="str">
        <f>VLOOKUP(B227,'Insumos e Serviços'!$A:$F,3,0)</f>
        <v>Composição</v>
      </c>
      <c r="B227" s="116" t="s">
        <v>227</v>
      </c>
      <c r="C227" s="116" t="str">
        <f>VLOOKUP(B227,'Insumos e Serviços'!$A:$F,2,0)</f>
        <v>SINAPI</v>
      </c>
      <c r="D227" s="117" t="str">
        <f>VLOOKUP(B227,'Insumos e Serviços'!$A:$F,4,0)</f>
        <v>PINTOR COM ENCARGOS COMPLEMENTARES</v>
      </c>
      <c r="E227" s="116" t="str">
        <f>VLOOKUP(B227,'Insumos e Serviços'!$A:$F,5,0)</f>
        <v>H</v>
      </c>
      <c r="F227" s="125">
        <v>0.5</v>
      </c>
      <c r="G227" s="118">
        <f>VLOOKUP(B227,'Insumos e Serviços'!$A:$F,6,0)</f>
        <v>26.15</v>
      </c>
      <c r="H227" s="118">
        <f>TRUNC(F227*G227,2)</f>
        <v>13.07</v>
      </c>
    </row>
    <row r="228" spans="1:8" ht="12.75">
      <c r="A228" s="115" t="str">
        <f>VLOOKUP(B228,'Insumos e Serviços'!$A:$F,3,0)</f>
        <v>Composição</v>
      </c>
      <c r="B228" s="116" t="s">
        <v>200</v>
      </c>
      <c r="C228" s="116" t="str">
        <f>VLOOKUP(B228,'Insumos e Serviços'!$A:$F,2,0)</f>
        <v>SINAPI</v>
      </c>
      <c r="D228" s="117" t="str">
        <f>VLOOKUP(B228,'Insumos e Serviços'!$A:$F,4,0)</f>
        <v>SERVENTE COM ENCARGOS COMPLEMENTARES</v>
      </c>
      <c r="E228" s="116" t="str">
        <f>VLOOKUP(B228,'Insumos e Serviços'!$A:$F,5,0)</f>
        <v>H</v>
      </c>
      <c r="F228" s="125">
        <v>0.33</v>
      </c>
      <c r="G228" s="118">
        <f>VLOOKUP(B228,'Insumos e Serviços'!$A:$F,6,0)</f>
        <v>18.65</v>
      </c>
      <c r="H228" s="118">
        <f>TRUNC(F228*G228,2)</f>
        <v>6.15</v>
      </c>
    </row>
    <row r="229" spans="1:8" ht="23.25" thickBot="1">
      <c r="A229" s="115" t="str">
        <f>VLOOKUP(B229,'Insumos e Serviços'!$A:$F,3,0)</f>
        <v>Insumo</v>
      </c>
      <c r="B229" s="116" t="s">
        <v>228</v>
      </c>
      <c r="C229" s="116" t="str">
        <f>VLOOKUP(B229,'Insumos e Serviços'!$A:$F,2,0)</f>
        <v>SINAPI</v>
      </c>
      <c r="D229" s="117" t="str">
        <f>VLOOKUP(B229,'Insumos e Serviços'!$A:$F,4,0)</f>
        <v>TINTA A BASE DE RESINA ACRILICA, PARA SINALIZACAO HORIZONTAL VIARIA (NBR 11862)</v>
      </c>
      <c r="E229" s="116" t="str">
        <f>VLOOKUP(B229,'Insumos e Serviços'!$A:$F,5,0)</f>
        <v>L</v>
      </c>
      <c r="F229" s="125">
        <v>0.35</v>
      </c>
      <c r="G229" s="118">
        <f>VLOOKUP(B229,'Insumos e Serviços'!$A:$F,6,0)</f>
        <v>18.26</v>
      </c>
      <c r="H229" s="118">
        <f>TRUNC(F229*G229,2)</f>
        <v>6.39</v>
      </c>
    </row>
    <row r="230" spans="1:8" ht="13.5" thickTop="1">
      <c r="A230" s="119"/>
      <c r="B230" s="119"/>
      <c r="C230" s="119"/>
      <c r="D230" s="119"/>
      <c r="E230" s="119"/>
      <c r="F230" s="126"/>
      <c r="G230" s="119"/>
      <c r="H230" s="119"/>
    </row>
    <row r="231" spans="1:8" ht="12.75">
      <c r="A231" s="108" t="s">
        <v>754</v>
      </c>
      <c r="B231" s="109"/>
      <c r="C231" s="109"/>
      <c r="D231" s="108" t="str">
        <f>VLOOKUP(A231,'Orçamento Sintético'!$A:$H,4,0)</f>
        <v>Acabamentos e Arremates</v>
      </c>
      <c r="E231" s="109"/>
      <c r="F231" s="123"/>
      <c r="G231" s="108"/>
      <c r="H231" s="110"/>
    </row>
    <row r="232" spans="1:8" ht="22.5">
      <c r="A232" s="111" t="s">
        <v>756</v>
      </c>
      <c r="B232" s="112" t="str">
        <f>VLOOKUP(A232,'Orçamento Sintético'!$A:$H,2,0)</f>
        <v> MPDFT0905 </v>
      </c>
      <c r="C232" s="112" t="str">
        <f>VLOOKUP(A232,'Orçamento Sintético'!$A:$H,3,0)</f>
        <v>Próprio</v>
      </c>
      <c r="D232" s="113" t="str">
        <f>VLOOKUP(A232,'Orçamento Sintético'!$A:$H,4,0)</f>
        <v>Copia da SETOP (PIS-FAI-005) - Fita antiderrapante 3M Safety Walk,  linha Conformable.</v>
      </c>
      <c r="E232" s="112" t="str">
        <f>VLOOKUP(A232,'Orçamento Sintético'!$A:$H,5,0)</f>
        <v>m</v>
      </c>
      <c r="F232" s="124"/>
      <c r="G232" s="114"/>
      <c r="H232" s="114">
        <f>SUM(H233:H234)</f>
        <v>16.52</v>
      </c>
    </row>
    <row r="233" spans="1:8" ht="12.75">
      <c r="A233" s="115" t="str">
        <f>VLOOKUP(B233,'Insumos e Serviços'!$A:$F,3,0)</f>
        <v>Composição</v>
      </c>
      <c r="B233" s="116" t="s">
        <v>200</v>
      </c>
      <c r="C233" s="116" t="str">
        <f>VLOOKUP(B233,'Insumos e Serviços'!$A:$F,2,0)</f>
        <v>SINAPI</v>
      </c>
      <c r="D233" s="117" t="str">
        <f>VLOOKUP(B233,'Insumos e Serviços'!$A:$F,4,0)</f>
        <v>SERVENTE COM ENCARGOS COMPLEMENTARES</v>
      </c>
      <c r="E233" s="116" t="str">
        <f>VLOOKUP(B233,'Insumos e Serviços'!$A:$F,5,0)</f>
        <v>H</v>
      </c>
      <c r="F233" s="125">
        <v>0.25</v>
      </c>
      <c r="G233" s="118">
        <f>VLOOKUP(B233,'Insumos e Serviços'!$A:$F,6,0)</f>
        <v>18.65</v>
      </c>
      <c r="H233" s="118">
        <f>TRUNC(F233*G233,2)</f>
        <v>4.66</v>
      </c>
    </row>
    <row r="234" spans="1:8" ht="13.5" thickBot="1">
      <c r="A234" s="115" t="str">
        <f>VLOOKUP(B234,'Insumos e Serviços'!$A:$F,3,0)</f>
        <v>Insumo</v>
      </c>
      <c r="B234" s="116" t="s">
        <v>499</v>
      </c>
      <c r="C234" s="116" t="str">
        <f>VLOOKUP(B234,'Insumos e Serviços'!$A:$F,2,0)</f>
        <v>Próprio</v>
      </c>
      <c r="D234" s="117" t="str">
        <f>VLOOKUP(B234,'Insumos e Serviços'!$A:$F,4,0)</f>
        <v>Fita antiderrapante, largura 50mm, ref. Safety Walk, linha Conformable fab. 3M</v>
      </c>
      <c r="E234" s="116" t="str">
        <f>VLOOKUP(B234,'Insumos e Serviços'!$A:$F,5,0)</f>
        <v>m</v>
      </c>
      <c r="F234" s="125">
        <v>1</v>
      </c>
      <c r="G234" s="118">
        <f>VLOOKUP(B234,'Insumos e Serviços'!$A:$F,6,0)</f>
        <v>11.86</v>
      </c>
      <c r="H234" s="118">
        <f>TRUNC(F234*G234,2)</f>
        <v>11.86</v>
      </c>
    </row>
    <row r="235" spans="1:8" ht="13.5" thickTop="1">
      <c r="A235" s="119"/>
      <c r="B235" s="119"/>
      <c r="C235" s="119"/>
      <c r="D235" s="119"/>
      <c r="E235" s="119"/>
      <c r="F235" s="126"/>
      <c r="G235" s="119"/>
      <c r="H235" s="119"/>
    </row>
    <row r="236" spans="1:8" ht="22.5">
      <c r="A236" s="120" t="s">
        <v>760</v>
      </c>
      <c r="B236" s="112" t="str">
        <f>VLOOKUP(A236,'Orçamento Sintético'!$A:$H,2,0)</f>
        <v> MPDFT1159 </v>
      </c>
      <c r="C236" s="112" t="str">
        <f>VLOOKUP(A236,'Orçamento Sintético'!$A:$H,3,0)</f>
        <v>Próprio</v>
      </c>
      <c r="D236" s="113" t="str">
        <f>VLOOKUP(A236,'Orçamento Sintético'!$A:$H,4,0)</f>
        <v>Copia da SINAPI (98689) - SOLEIRA EM GRANITO, LARGURA 25 CM, ESPESSURA 2,0 CM.</v>
      </c>
      <c r="E236" s="112" t="str">
        <f>VLOOKUP(A236,'Orçamento Sintético'!$A:$H,5,0)</f>
        <v>M</v>
      </c>
      <c r="F236" s="124"/>
      <c r="G236" s="114"/>
      <c r="H236" s="114">
        <f>SUM(H237:H240)</f>
        <v>144.69</v>
      </c>
    </row>
    <row r="237" spans="1:8" ht="12.75">
      <c r="A237" s="115" t="str">
        <f>VLOOKUP(B237,'Insumos e Serviços'!$A:$F,3,0)</f>
        <v>Composição</v>
      </c>
      <c r="B237" s="116" t="s">
        <v>232</v>
      </c>
      <c r="C237" s="116" t="str">
        <f>VLOOKUP(B237,'Insumos e Serviços'!$A:$F,2,0)</f>
        <v>SINAPI</v>
      </c>
      <c r="D237" s="117" t="str">
        <f>VLOOKUP(B237,'Insumos e Serviços'!$A:$F,4,0)</f>
        <v>MARMORISTA/GRANITEIRO COM ENCARGOS COMPLEMENTARES</v>
      </c>
      <c r="E237" s="116" t="str">
        <f>VLOOKUP(B237,'Insumos e Serviços'!$A:$F,5,0)</f>
        <v>H</v>
      </c>
      <c r="F237" s="125">
        <v>0.913</v>
      </c>
      <c r="G237" s="118">
        <f>VLOOKUP(B237,'Insumos e Serviços'!$A:$F,6,0)</f>
        <v>25</v>
      </c>
      <c r="H237" s="118">
        <f>TRUNC(F237*G237,2)</f>
        <v>22.82</v>
      </c>
    </row>
    <row r="238" spans="1:8" ht="12.75">
      <c r="A238" s="115" t="str">
        <f>VLOOKUP(B238,'Insumos e Serviços'!$A:$F,3,0)</f>
        <v>Composição</v>
      </c>
      <c r="B238" s="116" t="s">
        <v>200</v>
      </c>
      <c r="C238" s="116" t="str">
        <f>VLOOKUP(B238,'Insumos e Serviços'!$A:$F,2,0)</f>
        <v>SINAPI</v>
      </c>
      <c r="D238" s="117" t="str">
        <f>VLOOKUP(B238,'Insumos e Serviços'!$A:$F,4,0)</f>
        <v>SERVENTE COM ENCARGOS COMPLEMENTARES</v>
      </c>
      <c r="E238" s="116" t="str">
        <f>VLOOKUP(B238,'Insumos e Serviços'!$A:$F,5,0)</f>
        <v>H</v>
      </c>
      <c r="F238" s="125">
        <v>0.455</v>
      </c>
      <c r="G238" s="118">
        <f>VLOOKUP(B238,'Insumos e Serviços'!$A:$F,6,0)</f>
        <v>18.65</v>
      </c>
      <c r="H238" s="118">
        <f>TRUNC(F238*G238,2)</f>
        <v>8.48</v>
      </c>
    </row>
    <row r="239" spans="1:8" ht="22.5">
      <c r="A239" s="115" t="str">
        <f>VLOOKUP(B239,'Insumos e Serviços'!$A:$F,3,0)</f>
        <v>Insumo</v>
      </c>
      <c r="B239" s="116" t="s">
        <v>1109</v>
      </c>
      <c r="C239" s="116" t="str">
        <f>VLOOKUP(B239,'Insumos e Serviços'!$A:$F,2,0)</f>
        <v>SINAPI</v>
      </c>
      <c r="D239" s="117" t="str">
        <f>VLOOKUP(B239,'Insumos e Serviços'!$A:$F,4,0)</f>
        <v>SOLEIRA EM GRANITO, POLIDO, TIPO ANDORINHA/ QUARTZ/ CASTELO/ CORUMBA OU OUTROS EQUIVALENTES DA REGIAO, L= *15* CM, E=  *2,0* CM</v>
      </c>
      <c r="E239" s="116" t="str">
        <f>VLOOKUP(B239,'Insumos e Serviços'!$A:$F,5,0)</f>
        <v>M</v>
      </c>
      <c r="F239" s="125">
        <v>1.67</v>
      </c>
      <c r="G239" s="118">
        <f>VLOOKUP(B239,'Insumos e Serviços'!$A:$F,6,0)</f>
        <v>65.94</v>
      </c>
      <c r="H239" s="118">
        <f>TRUNC(F239*G239,2)</f>
        <v>110.11</v>
      </c>
    </row>
    <row r="240" spans="1:8" ht="13.5" thickBot="1">
      <c r="A240" s="115" t="str">
        <f>VLOOKUP(B240,'Insumos e Serviços'!$A:$F,3,0)</f>
        <v>Insumo</v>
      </c>
      <c r="B240" s="116" t="s">
        <v>1092</v>
      </c>
      <c r="C240" s="116" t="str">
        <f>VLOOKUP(B240,'Insumos e Serviços'!$A:$F,2,0)</f>
        <v>SINAPI</v>
      </c>
      <c r="D240" s="117" t="str">
        <f>VLOOKUP(B240,'Insumos e Serviços'!$A:$F,4,0)</f>
        <v>ARGAMASSA COLANTE TIPO AC III</v>
      </c>
      <c r="E240" s="116" t="str">
        <f>VLOOKUP(B240,'Insumos e Serviços'!$A:$F,5,0)</f>
        <v>KG</v>
      </c>
      <c r="F240" s="125">
        <v>2.15</v>
      </c>
      <c r="G240" s="118">
        <f>VLOOKUP(B240,'Insumos e Serviços'!$A:$F,6,0)</f>
        <v>1.53</v>
      </c>
      <c r="H240" s="118">
        <f>TRUNC(F240*G240,2)</f>
        <v>3.28</v>
      </c>
    </row>
    <row r="241" spans="1:8" ht="13.5" thickTop="1">
      <c r="A241" s="119"/>
      <c r="B241" s="119"/>
      <c r="C241" s="119"/>
      <c r="D241" s="119"/>
      <c r="E241" s="119"/>
      <c r="F241" s="126"/>
      <c r="G241" s="119"/>
      <c r="H241" s="119"/>
    </row>
    <row r="242" spans="1:8" ht="12.75">
      <c r="A242" s="108" t="s">
        <v>763</v>
      </c>
      <c r="B242" s="109"/>
      <c r="C242" s="109"/>
      <c r="D242" s="108" t="str">
        <f>VLOOKUP(A242,'Orçamento Sintético'!$A:$H,4,0)</f>
        <v>Equipamentos e Acessórios</v>
      </c>
      <c r="E242" s="109"/>
      <c r="F242" s="123"/>
      <c r="G242" s="108"/>
      <c r="H242" s="110"/>
    </row>
    <row r="243" spans="1:8" ht="22.5">
      <c r="A243" s="111" t="s">
        <v>765</v>
      </c>
      <c r="B243" s="112" t="str">
        <f>VLOOKUP(A243,'Orçamento Sintético'!$A:$H,2,0)</f>
        <v> MPDFT1075 </v>
      </c>
      <c r="C243" s="112" t="str">
        <f>VLOOKUP(A243,'Orçamento Sintético'!$A:$H,3,0)</f>
        <v>Próprio</v>
      </c>
      <c r="D243" s="113" t="str">
        <f>VLOOKUP(A243,'Orçamento Sintético'!$A:$H,4,0)</f>
        <v>Corrimão duplo de Ø 1.1/2" (38,1mm) em tubo de aço industrial, para pintura esmalte. Fixado em alvenaria ou guarda-corpo</v>
      </c>
      <c r="E243" s="112" t="str">
        <f>VLOOKUP(A243,'Orçamento Sintético'!$A:$H,5,0)</f>
        <v>m</v>
      </c>
      <c r="F243" s="124"/>
      <c r="G243" s="114"/>
      <c r="H243" s="114">
        <f>SUM(H244:H249)</f>
        <v>220.57</v>
      </c>
    </row>
    <row r="244" spans="1:8" ht="12.75">
      <c r="A244" s="115" t="str">
        <f>VLOOKUP(B244,'Insumos e Serviços'!$A:$F,3,0)</f>
        <v>Composição</v>
      </c>
      <c r="B244" s="116" t="s">
        <v>212</v>
      </c>
      <c r="C244" s="116" t="str">
        <f>VLOOKUP(B244,'Insumos e Serviços'!$A:$F,2,0)</f>
        <v>SINAPI</v>
      </c>
      <c r="D244" s="117" t="str">
        <f>VLOOKUP(B244,'Insumos e Serviços'!$A:$F,4,0)</f>
        <v>AUXILIAR DE SERRALHEIRO COM ENCARGOS COMPLEMENTARES</v>
      </c>
      <c r="E244" s="116" t="str">
        <f>VLOOKUP(B244,'Insumos e Serviços'!$A:$F,5,0)</f>
        <v>H</v>
      </c>
      <c r="F244" s="125">
        <v>1.502</v>
      </c>
      <c r="G244" s="118">
        <f>VLOOKUP(B244,'Insumos e Serviços'!$A:$F,6,0)</f>
        <v>19.82</v>
      </c>
      <c r="H244" s="118">
        <f aca="true" t="shared" si="7" ref="H244:H249">TRUNC(F244*G244,2)</f>
        <v>29.76</v>
      </c>
    </row>
    <row r="245" spans="1:8" ht="12.75">
      <c r="A245" s="115" t="str">
        <f>VLOOKUP(B245,'Insumos e Serviços'!$A:$F,3,0)</f>
        <v>Composição</v>
      </c>
      <c r="B245" s="116" t="s">
        <v>211</v>
      </c>
      <c r="C245" s="116" t="str">
        <f>VLOOKUP(B245,'Insumos e Serviços'!$A:$F,2,0)</f>
        <v>SINAPI</v>
      </c>
      <c r="D245" s="117" t="str">
        <f>VLOOKUP(B245,'Insumos e Serviços'!$A:$F,4,0)</f>
        <v>SERRALHEIRO COM ENCARGOS COMPLEMENTARES</v>
      </c>
      <c r="E245" s="116" t="str">
        <f>VLOOKUP(B245,'Insumos e Serviços'!$A:$F,5,0)</f>
        <v>H</v>
      </c>
      <c r="F245" s="125">
        <v>1.828</v>
      </c>
      <c r="G245" s="118">
        <f>VLOOKUP(B245,'Insumos e Serviços'!$A:$F,6,0)</f>
        <v>24.95</v>
      </c>
      <c r="H245" s="118">
        <f t="shared" si="7"/>
        <v>45.6</v>
      </c>
    </row>
    <row r="246" spans="1:8" ht="22.5">
      <c r="A246" s="115" t="str">
        <f>VLOOKUP(B246,'Insumos e Serviços'!$A:$F,3,0)</f>
        <v>Insumo</v>
      </c>
      <c r="B246" s="116" t="s">
        <v>239</v>
      </c>
      <c r="C246" s="116" t="str">
        <f>VLOOKUP(B246,'Insumos e Serviços'!$A:$F,2,0)</f>
        <v>SINAPI</v>
      </c>
      <c r="D246" s="117" t="str">
        <f>VLOOKUP(B246,'Insumos e Serviços'!$A:$F,4,0)</f>
        <v>BUCHA DE NYLON SEM ABA S10, COM PARAFUSO DE 6,10 X 65 MM EM ACO ZINCADO COM ROSCA SOBERBA, CABECA CHATA E FENDA PHILLIPS</v>
      </c>
      <c r="E246" s="116" t="str">
        <f>VLOOKUP(B246,'Insumos e Serviços'!$A:$F,5,0)</f>
        <v>UN</v>
      </c>
      <c r="F246" s="125">
        <v>6.545</v>
      </c>
      <c r="G246" s="118">
        <f>VLOOKUP(B246,'Insumos e Serviços'!$A:$F,6,0)</f>
        <v>0.92</v>
      </c>
      <c r="H246" s="118">
        <f t="shared" si="7"/>
        <v>6.02</v>
      </c>
    </row>
    <row r="247" spans="1:8" ht="12.75">
      <c r="A247" s="115" t="str">
        <f>VLOOKUP(B247,'Insumos e Serviços'!$A:$F,3,0)</f>
        <v>Insumo</v>
      </c>
      <c r="B247" s="116" t="s">
        <v>236</v>
      </c>
      <c r="C247" s="116" t="str">
        <f>VLOOKUP(B247,'Insumos e Serviços'!$A:$F,2,0)</f>
        <v>SINAPI</v>
      </c>
      <c r="D247" s="117" t="str">
        <f>VLOOKUP(B247,'Insumos e Serviços'!$A:$F,4,0)</f>
        <v>ELETRODO REVESTIDO AWS - E6013, DIAMETRO IGUAL A 2,50 MM</v>
      </c>
      <c r="E247" s="116" t="str">
        <f>VLOOKUP(B247,'Insumos e Serviços'!$A:$F,5,0)</f>
        <v>KG</v>
      </c>
      <c r="F247" s="125">
        <v>0.006</v>
      </c>
      <c r="G247" s="118">
        <f>VLOOKUP(B247,'Insumos e Serviços'!$A:$F,6,0)</f>
        <v>31.69</v>
      </c>
      <c r="H247" s="118">
        <f t="shared" si="7"/>
        <v>0.19</v>
      </c>
    </row>
    <row r="248" spans="1:8" ht="22.5">
      <c r="A248" s="115" t="str">
        <f>VLOOKUP(B248,'Insumos e Serviços'!$A:$F,3,0)</f>
        <v>Insumo</v>
      </c>
      <c r="B248" s="116" t="s">
        <v>235</v>
      </c>
      <c r="C248" s="116" t="str">
        <f>VLOOKUP(B248,'Insumos e Serviços'!$A:$F,2,0)</f>
        <v>SINAPI</v>
      </c>
      <c r="D248" s="117" t="str">
        <f>VLOOKUP(B248,'Insumos e Serviços'!$A:$F,4,0)</f>
        <v>TUBO ACO GALVANIZADO COM COSTURA, CLASSE LEVE, DN 40 MM ( 1 1/2"),  E = 3,00 MM,  *3,48* KG/M (NBR 5580)</v>
      </c>
      <c r="E248" s="116" t="str">
        <f>VLOOKUP(B248,'Insumos e Serviços'!$A:$F,5,0)</f>
        <v>M</v>
      </c>
      <c r="F248" s="125">
        <v>2.058</v>
      </c>
      <c r="G248" s="118">
        <f>VLOOKUP(B248,'Insumos e Serviços'!$A:$F,6,0)</f>
        <v>60.43</v>
      </c>
      <c r="H248" s="118">
        <f t="shared" si="7"/>
        <v>124.36</v>
      </c>
    </row>
    <row r="249" spans="1:8" ht="13.5" thickBot="1">
      <c r="A249" s="115" t="str">
        <f>VLOOKUP(B249,'Insumos e Serviços'!$A:$F,3,0)</f>
        <v>Insumo</v>
      </c>
      <c r="B249" s="116" t="s">
        <v>505</v>
      </c>
      <c r="C249" s="116" t="str">
        <f>VLOOKUP(B249,'Insumos e Serviços'!$A:$F,2,0)</f>
        <v>Próprio</v>
      </c>
      <c r="D249" s="117" t="str">
        <f>VLOOKUP(B249,'Insumos e Serviços'!$A:$F,4,0)</f>
        <v>Suporte para corrimão, redondo com pino 1/2" P/ tubo 2" - com parafusos e buchas</v>
      </c>
      <c r="E249" s="116" t="str">
        <f>VLOOKUP(B249,'Insumos e Serviços'!$A:$F,5,0)</f>
        <v>un</v>
      </c>
      <c r="F249" s="125">
        <v>2.182</v>
      </c>
      <c r="G249" s="118">
        <f>VLOOKUP(B249,'Insumos e Serviços'!$A:$F,6,0)</f>
        <v>6.71</v>
      </c>
      <c r="H249" s="118">
        <f t="shared" si="7"/>
        <v>14.64</v>
      </c>
    </row>
    <row r="250" spans="1:8" ht="13.5" thickTop="1">
      <c r="A250" s="119"/>
      <c r="B250" s="119"/>
      <c r="C250" s="119"/>
      <c r="D250" s="119"/>
      <c r="E250" s="119"/>
      <c r="F250" s="126"/>
      <c r="G250" s="119"/>
      <c r="H250" s="119"/>
    </row>
    <row r="251" spans="1:8" ht="22.5">
      <c r="A251" s="111" t="s">
        <v>768</v>
      </c>
      <c r="B251" s="112" t="str">
        <f>VLOOKUP(A251,'Orçamento Sintético'!$A:$H,2,0)</f>
        <v> MPDFT0918 </v>
      </c>
      <c r="C251" s="112" t="str">
        <f>VLOOKUP(A251,'Orçamento Sintético'!$A:$H,3,0)</f>
        <v>Próprio</v>
      </c>
      <c r="D251" s="113" t="str">
        <f>VLOOKUP(A251,'Orçamento Sintético'!$A:$H,4,0)</f>
        <v>Complemento de corrimão simples para duplo 1 1/2", de aço galvanizado para pintura, fixado em alvenaria ou guarda corpo</v>
      </c>
      <c r="E251" s="112" t="str">
        <f>VLOOKUP(A251,'Orçamento Sintético'!$A:$H,5,0)</f>
        <v>m</v>
      </c>
      <c r="F251" s="124"/>
      <c r="G251" s="114"/>
      <c r="H251" s="114">
        <f>SUM(H252:H258)</f>
        <v>217.93</v>
      </c>
    </row>
    <row r="252" spans="1:8" ht="12.75">
      <c r="A252" s="115" t="str">
        <f>VLOOKUP(B252,'Insumos e Serviços'!$A:$F,3,0)</f>
        <v>Composição</v>
      </c>
      <c r="B252" s="116" t="s">
        <v>212</v>
      </c>
      <c r="C252" s="116" t="str">
        <f>VLOOKUP(B252,'Insumos e Serviços'!$A:$F,2,0)</f>
        <v>SINAPI</v>
      </c>
      <c r="D252" s="117" t="str">
        <f>VLOOKUP(B252,'Insumos e Serviços'!$A:$F,4,0)</f>
        <v>AUXILIAR DE SERRALHEIRO COM ENCARGOS COMPLEMENTARES</v>
      </c>
      <c r="E252" s="116" t="str">
        <f>VLOOKUP(B252,'Insumos e Serviços'!$A:$F,5,0)</f>
        <v>H</v>
      </c>
      <c r="F252" s="125">
        <v>1.502</v>
      </c>
      <c r="G252" s="118">
        <f>VLOOKUP(B252,'Insumos e Serviços'!$A:$F,6,0)</f>
        <v>19.82</v>
      </c>
      <c r="H252" s="118">
        <f aca="true" t="shared" si="8" ref="H252:H258">TRUNC(F252*G252,2)</f>
        <v>29.76</v>
      </c>
    </row>
    <row r="253" spans="1:8" ht="12.75">
      <c r="A253" s="115" t="str">
        <f>VLOOKUP(B253,'Insumos e Serviços'!$A:$F,3,0)</f>
        <v>Composição</v>
      </c>
      <c r="B253" s="116" t="s">
        <v>211</v>
      </c>
      <c r="C253" s="116" t="str">
        <f>VLOOKUP(B253,'Insumos e Serviços'!$A:$F,2,0)</f>
        <v>SINAPI</v>
      </c>
      <c r="D253" s="117" t="str">
        <f>VLOOKUP(B253,'Insumos e Serviços'!$A:$F,4,0)</f>
        <v>SERRALHEIRO COM ENCARGOS COMPLEMENTARES</v>
      </c>
      <c r="E253" s="116" t="str">
        <f>VLOOKUP(B253,'Insumos e Serviços'!$A:$F,5,0)</f>
        <v>H</v>
      </c>
      <c r="F253" s="125">
        <v>1.828</v>
      </c>
      <c r="G253" s="118">
        <f>VLOOKUP(B253,'Insumos e Serviços'!$A:$F,6,0)</f>
        <v>24.95</v>
      </c>
      <c r="H253" s="118">
        <f t="shared" si="8"/>
        <v>45.6</v>
      </c>
    </row>
    <row r="254" spans="1:8" ht="22.5">
      <c r="A254" s="115" t="str">
        <f>VLOOKUP(B254,'Insumos e Serviços'!$A:$F,3,0)</f>
        <v>Insumo</v>
      </c>
      <c r="B254" s="116" t="s">
        <v>239</v>
      </c>
      <c r="C254" s="116" t="str">
        <f>VLOOKUP(B254,'Insumos e Serviços'!$A:$F,2,0)</f>
        <v>SINAPI</v>
      </c>
      <c r="D254" s="117" t="str">
        <f>VLOOKUP(B254,'Insumos e Serviços'!$A:$F,4,0)</f>
        <v>BUCHA DE NYLON SEM ABA S10, COM PARAFUSO DE 6,10 X 65 MM EM ACO ZINCADO COM ROSCA SOBERBA, CABECA CHATA E FENDA PHILLIPS</v>
      </c>
      <c r="E254" s="116" t="str">
        <f>VLOOKUP(B254,'Insumos e Serviços'!$A:$F,5,0)</f>
        <v>UN</v>
      </c>
      <c r="F254" s="125">
        <v>3.273</v>
      </c>
      <c r="G254" s="118">
        <f>VLOOKUP(B254,'Insumos e Serviços'!$A:$F,6,0)</f>
        <v>0.92</v>
      </c>
      <c r="H254" s="118">
        <f t="shared" si="8"/>
        <v>3.01</v>
      </c>
    </row>
    <row r="255" spans="1:8" ht="12.75">
      <c r="A255" s="115" t="str">
        <f>VLOOKUP(B255,'Insumos e Serviços'!$A:$F,3,0)</f>
        <v>Insumo</v>
      </c>
      <c r="B255" s="116" t="s">
        <v>236</v>
      </c>
      <c r="C255" s="116" t="str">
        <f>VLOOKUP(B255,'Insumos e Serviços'!$A:$F,2,0)</f>
        <v>SINAPI</v>
      </c>
      <c r="D255" s="117" t="str">
        <f>VLOOKUP(B255,'Insumos e Serviços'!$A:$F,4,0)</f>
        <v>ELETRODO REVESTIDO AWS - E6013, DIAMETRO IGUAL A 2,50 MM</v>
      </c>
      <c r="E255" s="116" t="str">
        <f>VLOOKUP(B255,'Insumos e Serviços'!$A:$F,5,0)</f>
        <v>KG</v>
      </c>
      <c r="F255" s="125">
        <v>0.006</v>
      </c>
      <c r="G255" s="118">
        <f>VLOOKUP(B255,'Insumos e Serviços'!$A:$F,6,0)</f>
        <v>31.69</v>
      </c>
      <c r="H255" s="118">
        <f t="shared" si="8"/>
        <v>0.19</v>
      </c>
    </row>
    <row r="256" spans="1:8" ht="22.5">
      <c r="A256" s="115" t="str">
        <f>VLOOKUP(B256,'Insumos e Serviços'!$A:$F,3,0)</f>
        <v>Insumo</v>
      </c>
      <c r="B256" s="116" t="s">
        <v>235</v>
      </c>
      <c r="C256" s="116" t="str">
        <f>VLOOKUP(B256,'Insumos e Serviços'!$A:$F,2,0)</f>
        <v>SINAPI</v>
      </c>
      <c r="D256" s="117" t="str">
        <f>VLOOKUP(B256,'Insumos e Serviços'!$A:$F,4,0)</f>
        <v>TUBO ACO GALVANIZADO COM COSTURA, CLASSE LEVE, DN 40 MM ( 1 1/2"),  E = 3,00 MM,  *3,48* KG/M (NBR 5580)</v>
      </c>
      <c r="E256" s="116" t="str">
        <f>VLOOKUP(B256,'Insumos e Serviços'!$A:$F,5,0)</f>
        <v>M</v>
      </c>
      <c r="F256" s="125">
        <v>1.3</v>
      </c>
      <c r="G256" s="118">
        <f>VLOOKUP(B256,'Insumos e Serviços'!$A:$F,6,0)</f>
        <v>60.43</v>
      </c>
      <c r="H256" s="118">
        <f t="shared" si="8"/>
        <v>78.55</v>
      </c>
    </row>
    <row r="257" spans="1:8" ht="12.75">
      <c r="A257" s="115" t="str">
        <f>VLOOKUP(B257,'Insumos e Serviços'!$A:$F,3,0)</f>
        <v>Insumo</v>
      </c>
      <c r="B257" s="116" t="s">
        <v>505</v>
      </c>
      <c r="C257" s="116" t="str">
        <f>VLOOKUP(B257,'Insumos e Serviços'!$A:$F,2,0)</f>
        <v>Próprio</v>
      </c>
      <c r="D257" s="117" t="str">
        <f>VLOOKUP(B257,'Insumos e Serviços'!$A:$F,4,0)</f>
        <v>Suporte para corrimão, redondo com pino 1/2" P/ tubo 2" - com parafusos e buchas</v>
      </c>
      <c r="E257" s="116" t="str">
        <f>VLOOKUP(B257,'Insumos e Serviços'!$A:$F,5,0)</f>
        <v>un</v>
      </c>
      <c r="F257" s="125">
        <v>1.091</v>
      </c>
      <c r="G257" s="118">
        <f>VLOOKUP(B257,'Insumos e Serviços'!$A:$F,6,0)</f>
        <v>6.71</v>
      </c>
      <c r="H257" s="118">
        <f t="shared" si="8"/>
        <v>7.32</v>
      </c>
    </row>
    <row r="258" spans="1:8" ht="13.5" thickBot="1">
      <c r="A258" s="115" t="str">
        <f>VLOOKUP(B258,'Insumos e Serviços'!$A:$F,3,0)</f>
        <v>Insumo</v>
      </c>
      <c r="B258" s="116" t="s">
        <v>238</v>
      </c>
      <c r="C258" s="116" t="str">
        <f>VLOOKUP(B258,'Insumos e Serviços'!$A:$F,2,0)</f>
        <v>Próprio</v>
      </c>
      <c r="D258" s="117" t="str">
        <f>VLOOKUP(B258,'Insumos e Serviços'!$A:$F,4,0)</f>
        <v>Curva de aço galvanizado 1 1/2"</v>
      </c>
      <c r="E258" s="116" t="str">
        <f>VLOOKUP(B258,'Insumos e Serviços'!$A:$F,5,0)</f>
        <v>un</v>
      </c>
      <c r="F258" s="125">
        <v>1</v>
      </c>
      <c r="G258" s="118">
        <f>VLOOKUP(B258,'Insumos e Serviços'!$A:$F,6,0)</f>
        <v>53.5</v>
      </c>
      <c r="H258" s="118">
        <f t="shared" si="8"/>
        <v>53.5</v>
      </c>
    </row>
    <row r="259" spans="1:8" ht="13.5" thickTop="1">
      <c r="A259" s="119"/>
      <c r="B259" s="119"/>
      <c r="C259" s="119"/>
      <c r="D259" s="119"/>
      <c r="E259" s="119"/>
      <c r="F259" s="126"/>
      <c r="G259" s="119"/>
      <c r="H259" s="119"/>
    </row>
    <row r="260" spans="1:8" ht="33.75">
      <c r="A260" s="111" t="s">
        <v>771</v>
      </c>
      <c r="B260" s="112" t="str">
        <f>VLOOKUP(A260,'Orçamento Sintético'!$A:$H,2,0)</f>
        <v> MPDFT0607 </v>
      </c>
      <c r="C260" s="112" t="str">
        <f>VLOOKUP(A260,'Orçamento Sintético'!$A:$H,3,0)</f>
        <v>Próprio</v>
      </c>
      <c r="D260" s="113" t="str">
        <f>VLOOKUP(A260,'Orçamento Sintético'!$A:$H,4,0)</f>
        <v>Plaquetas de sinalização em braile em placas de alumínio, escrita em alfabeto braile, identificando o pavimento em que o usuário se encontra, referência: Andaluz</v>
      </c>
      <c r="E260" s="112" t="str">
        <f>VLOOKUP(A260,'Orçamento Sintético'!$A:$H,5,0)</f>
        <v>un</v>
      </c>
      <c r="F260" s="124"/>
      <c r="G260" s="114"/>
      <c r="H260" s="114">
        <f>SUM(H261:H263)</f>
        <v>12.84</v>
      </c>
    </row>
    <row r="261" spans="1:8" ht="12.75">
      <c r="A261" s="115" t="str">
        <f>VLOOKUP(B261,'Insumos e Serviços'!$A:$F,3,0)</f>
        <v>Composição</v>
      </c>
      <c r="B261" s="116" t="s">
        <v>200</v>
      </c>
      <c r="C261" s="116" t="str">
        <f>VLOOKUP(B261,'Insumos e Serviços'!$A:$F,2,0)</f>
        <v>SINAPI</v>
      </c>
      <c r="D261" s="117" t="str">
        <f>VLOOKUP(B261,'Insumos e Serviços'!$A:$F,4,0)</f>
        <v>SERVENTE COM ENCARGOS COMPLEMENTARES</v>
      </c>
      <c r="E261" s="116" t="str">
        <f>VLOOKUP(B261,'Insumos e Serviços'!$A:$F,5,0)</f>
        <v>H</v>
      </c>
      <c r="F261" s="125">
        <v>0.083</v>
      </c>
      <c r="G261" s="118">
        <f>VLOOKUP(B261,'Insumos e Serviços'!$A:$F,6,0)</f>
        <v>18.65</v>
      </c>
      <c r="H261" s="118">
        <f>TRUNC(F261*G261,2)</f>
        <v>1.54</v>
      </c>
    </row>
    <row r="262" spans="1:8" ht="22.5">
      <c r="A262" s="115" t="str">
        <f>VLOOKUP(B262,'Insumos e Serviços'!$A:$F,3,0)</f>
        <v>Insumo</v>
      </c>
      <c r="B262" s="116" t="s">
        <v>459</v>
      </c>
      <c r="C262" s="116" t="str">
        <f>VLOOKUP(B262,'Insumos e Serviços'!$A:$F,2,0)</f>
        <v>Próprio</v>
      </c>
      <c r="D262" s="117" t="str">
        <f>VLOOKUP(B262,'Insumos e Serviços'!$A:$F,4,0)</f>
        <v>Plaquetas de sinalização em braile em placas de alumínio, escrita em alfabeto braile, identificando o pavimento em que o usuário se encontra, referência: Andaluz</v>
      </c>
      <c r="E262" s="116" t="str">
        <f>VLOOKUP(B262,'Insumos e Serviços'!$A:$F,5,0)</f>
        <v>un</v>
      </c>
      <c r="F262" s="125">
        <v>1</v>
      </c>
      <c r="G262" s="118">
        <f>VLOOKUP(B262,'Insumos e Serviços'!$A:$F,6,0)</f>
        <v>10.82</v>
      </c>
      <c r="H262" s="118">
        <f>TRUNC(F262*G262,2)</f>
        <v>10.82</v>
      </c>
    </row>
    <row r="263" spans="1:8" ht="13.5" thickBot="1">
      <c r="A263" s="115" t="str">
        <f>VLOOKUP(B263,'Insumos e Serviços'!$A:$F,3,0)</f>
        <v>Insumo</v>
      </c>
      <c r="B263" s="116" t="s">
        <v>1094</v>
      </c>
      <c r="C263" s="116" t="str">
        <f>VLOOKUP(B263,'Insumos e Serviços'!$A:$F,2,0)</f>
        <v>SINAPI</v>
      </c>
      <c r="D263" s="117" t="str">
        <f>VLOOKUP(B263,'Insumos e Serviços'!$A:$F,4,0)</f>
        <v>ADESIVO ACRILICO/COLA DE CONTATO</v>
      </c>
      <c r="E263" s="116" t="str">
        <f>VLOOKUP(B263,'Insumos e Serviços'!$A:$F,5,0)</f>
        <v>KG</v>
      </c>
      <c r="F263" s="125">
        <v>0.01</v>
      </c>
      <c r="G263" s="118">
        <f>VLOOKUP(B263,'Insumos e Serviços'!$A:$F,6,0)</f>
        <v>48.16</v>
      </c>
      <c r="H263" s="118">
        <f>TRUNC(F263*G263,2)</f>
        <v>0.48</v>
      </c>
    </row>
    <row r="264" spans="1:8" ht="13.5" thickTop="1">
      <c r="A264" s="119"/>
      <c r="B264" s="119"/>
      <c r="C264" s="119"/>
      <c r="D264" s="119"/>
      <c r="E264" s="119"/>
      <c r="F264" s="126"/>
      <c r="G264" s="119"/>
      <c r="H264" s="119"/>
    </row>
    <row r="265" spans="1:8" ht="12.75">
      <c r="A265" s="108" t="s">
        <v>773</v>
      </c>
      <c r="B265" s="109"/>
      <c r="C265" s="109"/>
      <c r="D265" s="108" t="str">
        <f>VLOOKUP(A265,'Orçamento Sintético'!$A:$H,4,0)</f>
        <v>Sanitários e Vestiários</v>
      </c>
      <c r="E265" s="109"/>
      <c r="F265" s="123"/>
      <c r="G265" s="108"/>
      <c r="H265" s="110"/>
    </row>
    <row r="266" spans="1:8" ht="22.5">
      <c r="A266" s="111" t="s">
        <v>775</v>
      </c>
      <c r="B266" s="112" t="str">
        <f>VLOOKUP(A266,'Orçamento Sintético'!$A:$H,2,0)</f>
        <v> MPDFT0148 </v>
      </c>
      <c r="C266" s="112" t="str">
        <f>VLOOKUP(A266,'Orçamento Sintético'!$A:$H,3,0)</f>
        <v>Próprio</v>
      </c>
      <c r="D266" s="113" t="str">
        <f>VLOOKUP(A266,'Orçamento Sintético'!$A:$H,4,0)</f>
        <v>Copia da SINAPI (95470) - Bacia sanitária, cor branco gelo, Linha Monte Carlo cód. P.8.17, fab. Deca - inclusive assento PLÁSTICO</v>
      </c>
      <c r="E266" s="112" t="str">
        <f>VLOOKUP(A266,'Orçamento Sintético'!$A:$H,5,0)</f>
        <v>UN</v>
      </c>
      <c r="F266" s="124"/>
      <c r="G266" s="114"/>
      <c r="H266" s="114">
        <f>SUM(H267:H274)</f>
        <v>726.9300000000001</v>
      </c>
    </row>
    <row r="267" spans="1:8" ht="12.75">
      <c r="A267" s="115" t="str">
        <f>VLOOKUP(B267,'Insumos e Serviços'!$A:$F,3,0)</f>
        <v>Composição</v>
      </c>
      <c r="B267" s="116" t="s">
        <v>205</v>
      </c>
      <c r="C267" s="116" t="str">
        <f>VLOOKUP(B267,'Insumos e Serviços'!$A:$F,2,0)</f>
        <v>SINAPI</v>
      </c>
      <c r="D267" s="117" t="str">
        <f>VLOOKUP(B267,'Insumos e Serviços'!$A:$F,4,0)</f>
        <v>ENCANADOR OU BOMBEIRO HIDRÁULICO COM ENCARGOS COMPLEMENTARES</v>
      </c>
      <c r="E267" s="116" t="str">
        <f>VLOOKUP(B267,'Insumos e Serviços'!$A:$F,5,0)</f>
        <v>H</v>
      </c>
      <c r="F267" s="125">
        <v>0.6504</v>
      </c>
      <c r="G267" s="118">
        <f>VLOOKUP(B267,'Insumos e Serviços'!$A:$F,6,0)</f>
        <v>24.48</v>
      </c>
      <c r="H267" s="118">
        <f aca="true" t="shared" si="9" ref="H267:H274">TRUNC(F267*G267,2)</f>
        <v>15.92</v>
      </c>
    </row>
    <row r="268" spans="1:8" ht="12.75">
      <c r="A268" s="115" t="str">
        <f>VLOOKUP(B268,'Insumos e Serviços'!$A:$F,3,0)</f>
        <v>Composição</v>
      </c>
      <c r="B268" s="116" t="s">
        <v>200</v>
      </c>
      <c r="C268" s="116" t="str">
        <f>VLOOKUP(B268,'Insumos e Serviços'!$A:$F,2,0)</f>
        <v>SINAPI</v>
      </c>
      <c r="D268" s="117" t="str">
        <f>VLOOKUP(B268,'Insumos e Serviços'!$A:$F,4,0)</f>
        <v>SERVENTE COM ENCARGOS COMPLEMENTARES</v>
      </c>
      <c r="E268" s="116" t="str">
        <f>VLOOKUP(B268,'Insumos e Serviços'!$A:$F,5,0)</f>
        <v>H</v>
      </c>
      <c r="F268" s="125">
        <v>0.3979</v>
      </c>
      <c r="G268" s="118">
        <f>VLOOKUP(B268,'Insumos e Serviços'!$A:$F,6,0)</f>
        <v>18.65</v>
      </c>
      <c r="H268" s="118">
        <f t="shared" si="9"/>
        <v>7.42</v>
      </c>
    </row>
    <row r="269" spans="1:8" ht="12.75">
      <c r="A269" s="115" t="str">
        <f>VLOOKUP(B269,'Insumos e Serviços'!$A:$F,3,0)</f>
        <v>Insumo</v>
      </c>
      <c r="B269" s="116" t="s">
        <v>1112</v>
      </c>
      <c r="C269" s="116" t="str">
        <f>VLOOKUP(B269,'Insumos e Serviços'!$A:$F,2,0)</f>
        <v>SINAPI</v>
      </c>
      <c r="D269" s="117" t="str">
        <f>VLOOKUP(B269,'Insumos e Serviços'!$A:$F,4,0)</f>
        <v>VEDACAO PVC, 100 MM, PARA SAIDA VASO SANITARIO</v>
      </c>
      <c r="E269" s="116" t="str">
        <f>VLOOKUP(B269,'Insumos e Serviços'!$A:$F,5,0)</f>
        <v>UN</v>
      </c>
      <c r="F269" s="125">
        <v>1</v>
      </c>
      <c r="G269" s="118">
        <f>VLOOKUP(B269,'Insumos e Serviços'!$A:$F,6,0)</f>
        <v>11.42</v>
      </c>
      <c r="H269" s="118">
        <f t="shared" si="9"/>
        <v>11.42</v>
      </c>
    </row>
    <row r="270" spans="1:8" ht="22.5">
      <c r="A270" s="115" t="str">
        <f>VLOOKUP(B270,'Insumos e Serviços'!$A:$F,3,0)</f>
        <v>Insumo</v>
      </c>
      <c r="B270" s="116" t="s">
        <v>1114</v>
      </c>
      <c r="C270" s="116" t="str">
        <f>VLOOKUP(B270,'Insumos e Serviços'!$A:$F,2,0)</f>
        <v>SINAPI</v>
      </c>
      <c r="D270" s="117" t="str">
        <f>VLOOKUP(B270,'Insumos e Serviços'!$A:$F,4,0)</f>
        <v>PARAFUSO NIQUELADO COM ACABAMENTO CROMADO PARA FIXAR PECA SANITARIA, INCLUI PORCA CEGA, ARRUELA E BUCHA DE NYLON TAMANHO S-10</v>
      </c>
      <c r="E270" s="116" t="str">
        <f>VLOOKUP(B270,'Insumos e Serviços'!$A:$F,5,0)</f>
        <v>UN</v>
      </c>
      <c r="F270" s="125">
        <v>2</v>
      </c>
      <c r="G270" s="118">
        <f>VLOOKUP(B270,'Insumos e Serviços'!$A:$F,6,0)</f>
        <v>23.27</v>
      </c>
      <c r="H270" s="118">
        <f t="shared" si="9"/>
        <v>46.54</v>
      </c>
    </row>
    <row r="271" spans="1:8" ht="12.75">
      <c r="A271" s="115" t="str">
        <f>VLOOKUP(B271,'Insumos e Serviços'!$A:$F,3,0)</f>
        <v>Insumo</v>
      </c>
      <c r="B271" s="116" t="s">
        <v>1116</v>
      </c>
      <c r="C271" s="116" t="str">
        <f>VLOOKUP(B271,'Insumos e Serviços'!$A:$F,2,0)</f>
        <v>SINAPI</v>
      </c>
      <c r="D271" s="117" t="str">
        <f>VLOOKUP(B271,'Insumos e Serviços'!$A:$F,4,0)</f>
        <v>REJUNTE EPOXI, QUALQUER COR</v>
      </c>
      <c r="E271" s="116" t="str">
        <f>VLOOKUP(B271,'Insumos e Serviços'!$A:$F,5,0)</f>
        <v>KG</v>
      </c>
      <c r="F271" s="125">
        <v>0.0881</v>
      </c>
      <c r="G271" s="118">
        <f>VLOOKUP(B271,'Insumos e Serviços'!$A:$F,6,0)</f>
        <v>61.83</v>
      </c>
      <c r="H271" s="118">
        <f t="shared" si="9"/>
        <v>5.44</v>
      </c>
    </row>
    <row r="272" spans="1:8" ht="12.75">
      <c r="A272" s="115" t="str">
        <f>VLOOKUP(B272,'Insumos e Serviços'!$A:$F,3,0)</f>
        <v>Insumo</v>
      </c>
      <c r="B272" s="116" t="s">
        <v>415</v>
      </c>
      <c r="C272" s="116" t="str">
        <f>VLOOKUP(B272,'Insumos e Serviços'!$A:$F,2,0)</f>
        <v>Próprio</v>
      </c>
      <c r="D272" s="117" t="str">
        <f>VLOOKUP(B272,'Insumos e Serviços'!$A:$F,4,0)</f>
        <v>Bacia sanitária, cor branco gelo, linha Monte Carlo, código P.8.17, fab. Deca</v>
      </c>
      <c r="E272" s="116" t="str">
        <f>VLOOKUP(B272,'Insumos e Serviços'!$A:$F,5,0)</f>
        <v>un</v>
      </c>
      <c r="F272" s="125">
        <v>1</v>
      </c>
      <c r="G272" s="118">
        <f>VLOOKUP(B272,'Insumos e Serviços'!$A:$F,6,0)</f>
        <v>441.56</v>
      </c>
      <c r="H272" s="118">
        <f t="shared" si="9"/>
        <v>441.56</v>
      </c>
    </row>
    <row r="273" spans="1:8" ht="12.75">
      <c r="A273" s="115" t="str">
        <f>VLOOKUP(B273,'Insumos e Serviços'!$A:$F,3,0)</f>
        <v>Insumo</v>
      </c>
      <c r="B273" s="116" t="s">
        <v>451</v>
      </c>
      <c r="C273" s="116" t="str">
        <f>VLOOKUP(B273,'Insumos e Serviços'!$A:$F,2,0)</f>
        <v>Próprio</v>
      </c>
      <c r="D273" s="117" t="str">
        <f>VLOOKUP(B273,'Insumos e Serviços'!$A:$F,4,0)</f>
        <v>Tubo de ligação para vaso sanitário, cromado, código 1968C, fabricação Deca</v>
      </c>
      <c r="E273" s="116" t="str">
        <f>VLOOKUP(B273,'Insumos e Serviços'!$A:$F,5,0)</f>
        <v>un</v>
      </c>
      <c r="F273" s="125">
        <v>1</v>
      </c>
      <c r="G273" s="118">
        <f>VLOOKUP(B273,'Insumos e Serviços'!$A:$F,6,0)</f>
        <v>72.18</v>
      </c>
      <c r="H273" s="118">
        <f t="shared" si="9"/>
        <v>72.18</v>
      </c>
    </row>
    <row r="274" spans="1:8" ht="13.5" thickBot="1">
      <c r="A274" s="115" t="str">
        <f>VLOOKUP(B274,'Insumos e Serviços'!$A:$F,3,0)</f>
        <v>Insumo</v>
      </c>
      <c r="B274" s="116" t="s">
        <v>399</v>
      </c>
      <c r="C274" s="116" t="str">
        <f>VLOOKUP(B274,'Insumos e Serviços'!$A:$F,2,0)</f>
        <v>Próprio</v>
      </c>
      <c r="D274" s="117" t="str">
        <f>VLOOKUP(B274,'Insumos e Serviços'!$A:$F,4,0)</f>
        <v>Assento plástico Monte Carlo AP.80.17 Deca</v>
      </c>
      <c r="E274" s="116" t="str">
        <f>VLOOKUP(B274,'Insumos e Serviços'!$A:$F,5,0)</f>
        <v>un</v>
      </c>
      <c r="F274" s="125">
        <v>1</v>
      </c>
      <c r="G274" s="118">
        <f>VLOOKUP(B274,'Insumos e Serviços'!$A:$F,6,0)</f>
        <v>126.45</v>
      </c>
      <c r="H274" s="118">
        <f t="shared" si="9"/>
        <v>126.45</v>
      </c>
    </row>
    <row r="275" spans="1:8" ht="13.5" thickTop="1">
      <c r="A275" s="119"/>
      <c r="B275" s="119"/>
      <c r="C275" s="119"/>
      <c r="D275" s="119"/>
      <c r="E275" s="119"/>
      <c r="F275" s="126"/>
      <c r="G275" s="119"/>
      <c r="H275" s="119"/>
    </row>
    <row r="276" spans="1:8" ht="22.5">
      <c r="A276" s="111" t="s">
        <v>778</v>
      </c>
      <c r="B276" s="112" t="str">
        <f>VLOOKUP(A276,'Orçamento Sintético'!$A:$H,2,0)</f>
        <v> MPDFT0895 </v>
      </c>
      <c r="C276" s="112" t="str">
        <f>VLOOKUP(A276,'Orçamento Sintético'!$A:$H,3,0)</f>
        <v>Próprio</v>
      </c>
      <c r="D276" s="113" t="str">
        <f>VLOOKUP(A276,'Orçamento Sintético'!$A:$H,4,0)</f>
        <v>Copia da SINAPI (95470) - Bacia sanitária, Linha Studio Kids, cor branco gelo, código PI.16.17, fabricação Deca - inclusive assento</v>
      </c>
      <c r="E276" s="112" t="str">
        <f>VLOOKUP(A276,'Orçamento Sintético'!$A:$H,5,0)</f>
        <v>UN</v>
      </c>
      <c r="F276" s="124"/>
      <c r="G276" s="114"/>
      <c r="H276" s="114">
        <f>SUM(H277:H284)</f>
        <v>537.7299999999999</v>
      </c>
    </row>
    <row r="277" spans="1:8" ht="12.75">
      <c r="A277" s="115" t="str">
        <f>VLOOKUP(B277,'Insumos e Serviços'!$A:$F,3,0)</f>
        <v>Composição</v>
      </c>
      <c r="B277" s="116" t="s">
        <v>205</v>
      </c>
      <c r="C277" s="116" t="str">
        <f>VLOOKUP(B277,'Insumos e Serviços'!$A:$F,2,0)</f>
        <v>SINAPI</v>
      </c>
      <c r="D277" s="117" t="str">
        <f>VLOOKUP(B277,'Insumos e Serviços'!$A:$F,4,0)</f>
        <v>ENCANADOR OU BOMBEIRO HIDRÁULICO COM ENCARGOS COMPLEMENTARES</v>
      </c>
      <c r="E277" s="116" t="str">
        <f>VLOOKUP(B277,'Insumos e Serviços'!$A:$F,5,0)</f>
        <v>H</v>
      </c>
      <c r="F277" s="125">
        <v>0.6504</v>
      </c>
      <c r="G277" s="118">
        <f>VLOOKUP(B277,'Insumos e Serviços'!$A:$F,6,0)</f>
        <v>24.48</v>
      </c>
      <c r="H277" s="118">
        <f aca="true" t="shared" si="10" ref="H277:H284">TRUNC(F277*G277,2)</f>
        <v>15.92</v>
      </c>
    </row>
    <row r="278" spans="1:8" ht="12.75">
      <c r="A278" s="115" t="str">
        <f>VLOOKUP(B278,'Insumos e Serviços'!$A:$F,3,0)</f>
        <v>Composição</v>
      </c>
      <c r="B278" s="116" t="s">
        <v>200</v>
      </c>
      <c r="C278" s="116" t="str">
        <f>VLOOKUP(B278,'Insumos e Serviços'!$A:$F,2,0)</f>
        <v>SINAPI</v>
      </c>
      <c r="D278" s="117" t="str">
        <f>VLOOKUP(B278,'Insumos e Serviços'!$A:$F,4,0)</f>
        <v>SERVENTE COM ENCARGOS COMPLEMENTARES</v>
      </c>
      <c r="E278" s="116" t="str">
        <f>VLOOKUP(B278,'Insumos e Serviços'!$A:$F,5,0)</f>
        <v>H</v>
      </c>
      <c r="F278" s="125">
        <v>0.3979</v>
      </c>
      <c r="G278" s="118">
        <f>VLOOKUP(B278,'Insumos e Serviços'!$A:$F,6,0)</f>
        <v>18.65</v>
      </c>
      <c r="H278" s="118">
        <f t="shared" si="10"/>
        <v>7.42</v>
      </c>
    </row>
    <row r="279" spans="1:8" ht="12.75">
      <c r="A279" s="115" t="str">
        <f>VLOOKUP(B279,'Insumos e Serviços'!$A:$F,3,0)</f>
        <v>Insumo</v>
      </c>
      <c r="B279" s="116" t="s">
        <v>1112</v>
      </c>
      <c r="C279" s="116" t="str">
        <f>VLOOKUP(B279,'Insumos e Serviços'!$A:$F,2,0)</f>
        <v>SINAPI</v>
      </c>
      <c r="D279" s="117" t="str">
        <f>VLOOKUP(B279,'Insumos e Serviços'!$A:$F,4,0)</f>
        <v>VEDACAO PVC, 100 MM, PARA SAIDA VASO SANITARIO</v>
      </c>
      <c r="E279" s="116" t="str">
        <f>VLOOKUP(B279,'Insumos e Serviços'!$A:$F,5,0)</f>
        <v>UN</v>
      </c>
      <c r="F279" s="125">
        <v>1</v>
      </c>
      <c r="G279" s="118">
        <f>VLOOKUP(B279,'Insumos e Serviços'!$A:$F,6,0)</f>
        <v>11.42</v>
      </c>
      <c r="H279" s="118">
        <f t="shared" si="10"/>
        <v>11.42</v>
      </c>
    </row>
    <row r="280" spans="1:8" ht="22.5">
      <c r="A280" s="115" t="str">
        <f>VLOOKUP(B280,'Insumos e Serviços'!$A:$F,3,0)</f>
        <v>Insumo</v>
      </c>
      <c r="B280" s="116" t="s">
        <v>1118</v>
      </c>
      <c r="C280" s="116" t="str">
        <f>VLOOKUP(B280,'Insumos e Serviços'!$A:$F,2,0)</f>
        <v>SINAPI</v>
      </c>
      <c r="D280" s="117" t="str">
        <f>VLOOKUP(B280,'Insumos e Serviços'!$A:$F,4,0)</f>
        <v>CONJUNTO DE LIGACAO PARA BACIA SANITARIA EM PLASTICO BRANCO COM TUBO, CANOPLA E ANEL DE EXPANSAO (TUBO 1.1/2 '' X 20 CM)</v>
      </c>
      <c r="E280" s="116" t="str">
        <f>VLOOKUP(B280,'Insumos e Serviços'!$A:$F,5,0)</f>
        <v>UN</v>
      </c>
      <c r="F280" s="125">
        <v>1</v>
      </c>
      <c r="G280" s="118">
        <f>VLOOKUP(B280,'Insumos e Serviços'!$A:$F,6,0)</f>
        <v>10.17</v>
      </c>
      <c r="H280" s="118">
        <f t="shared" si="10"/>
        <v>10.17</v>
      </c>
    </row>
    <row r="281" spans="1:8" ht="22.5">
      <c r="A281" s="115" t="str">
        <f>VLOOKUP(B281,'Insumos e Serviços'!$A:$F,3,0)</f>
        <v>Insumo</v>
      </c>
      <c r="B281" s="116" t="s">
        <v>1114</v>
      </c>
      <c r="C281" s="116" t="str">
        <f>VLOOKUP(B281,'Insumos e Serviços'!$A:$F,2,0)</f>
        <v>SINAPI</v>
      </c>
      <c r="D281" s="117" t="str">
        <f>VLOOKUP(B281,'Insumos e Serviços'!$A:$F,4,0)</f>
        <v>PARAFUSO NIQUELADO COM ACABAMENTO CROMADO PARA FIXAR PECA SANITARIA, INCLUI PORCA CEGA, ARRUELA E BUCHA DE NYLON TAMANHO S-10</v>
      </c>
      <c r="E281" s="116" t="str">
        <f>VLOOKUP(B281,'Insumos e Serviços'!$A:$F,5,0)</f>
        <v>UN</v>
      </c>
      <c r="F281" s="125">
        <v>2</v>
      </c>
      <c r="G281" s="118">
        <f>VLOOKUP(B281,'Insumos e Serviços'!$A:$F,6,0)</f>
        <v>23.27</v>
      </c>
      <c r="H281" s="118">
        <f t="shared" si="10"/>
        <v>46.54</v>
      </c>
    </row>
    <row r="282" spans="1:8" ht="12.75">
      <c r="A282" s="115" t="str">
        <f>VLOOKUP(B282,'Insumos e Serviços'!$A:$F,3,0)</f>
        <v>Insumo</v>
      </c>
      <c r="B282" s="116" t="s">
        <v>1116</v>
      </c>
      <c r="C282" s="116" t="str">
        <f>VLOOKUP(B282,'Insumos e Serviços'!$A:$F,2,0)</f>
        <v>SINAPI</v>
      </c>
      <c r="D282" s="117" t="str">
        <f>VLOOKUP(B282,'Insumos e Serviços'!$A:$F,4,0)</f>
        <v>REJUNTE EPOXI, QUALQUER COR</v>
      </c>
      <c r="E282" s="116" t="str">
        <f>VLOOKUP(B282,'Insumos e Serviços'!$A:$F,5,0)</f>
        <v>KG</v>
      </c>
      <c r="F282" s="125">
        <v>0.0881</v>
      </c>
      <c r="G282" s="118">
        <f>VLOOKUP(B282,'Insumos e Serviços'!$A:$F,6,0)</f>
        <v>61.83</v>
      </c>
      <c r="H282" s="118">
        <f t="shared" si="10"/>
        <v>5.44</v>
      </c>
    </row>
    <row r="283" spans="1:8" ht="22.5">
      <c r="A283" s="115" t="str">
        <f>VLOOKUP(B283,'Insumos e Serviços'!$A:$F,3,0)</f>
        <v>Insumo</v>
      </c>
      <c r="B283" s="116" t="s">
        <v>487</v>
      </c>
      <c r="C283" s="116" t="str">
        <f>VLOOKUP(B283,'Insumos e Serviços'!$A:$F,2,0)</f>
        <v>Próprio</v>
      </c>
      <c r="D283" s="117" t="str">
        <f>VLOOKUP(B283,'Insumos e Serviços'!$A:$F,4,0)</f>
        <v>Bacia sanitária, Linha Studio Kids, cor branco gelo, código PI.16.17, fabricação Deca</v>
      </c>
      <c r="E283" s="116" t="str">
        <f>VLOOKUP(B283,'Insumos e Serviços'!$A:$F,5,0)</f>
        <v>un</v>
      </c>
      <c r="F283" s="125">
        <v>1</v>
      </c>
      <c r="G283" s="118">
        <f>VLOOKUP(B283,'Insumos e Serviços'!$A:$F,6,0)</f>
        <v>329.77</v>
      </c>
      <c r="H283" s="118">
        <f t="shared" si="10"/>
        <v>329.77</v>
      </c>
    </row>
    <row r="284" spans="1:8" ht="13.5" thickBot="1">
      <c r="A284" s="115" t="str">
        <f>VLOOKUP(B284,'Insumos e Serviços'!$A:$F,3,0)</f>
        <v>Insumo</v>
      </c>
      <c r="B284" s="116" t="s">
        <v>489</v>
      </c>
      <c r="C284" s="116" t="str">
        <f>VLOOKUP(B284,'Insumos e Serviços'!$A:$F,2,0)</f>
        <v>Próprio</v>
      </c>
      <c r="D284" s="117" t="str">
        <f>VLOOKUP(B284,'Insumos e Serviços'!$A:$F,4,0)</f>
        <v>Assento para bacia sanitária infantil, linha Studio Kids PI.166.17, Deca</v>
      </c>
      <c r="E284" s="116" t="str">
        <f>VLOOKUP(B284,'Insumos e Serviços'!$A:$F,5,0)</f>
        <v>un</v>
      </c>
      <c r="F284" s="125">
        <v>1</v>
      </c>
      <c r="G284" s="118">
        <f>VLOOKUP(B284,'Insumos e Serviços'!$A:$F,6,0)</f>
        <v>111.05</v>
      </c>
      <c r="H284" s="118">
        <f t="shared" si="10"/>
        <v>111.05</v>
      </c>
    </row>
    <row r="285" spans="1:8" ht="13.5" thickTop="1">
      <c r="A285" s="119"/>
      <c r="B285" s="119"/>
      <c r="C285" s="119"/>
      <c r="D285" s="119"/>
      <c r="E285" s="119"/>
      <c r="F285" s="126"/>
      <c r="G285" s="119"/>
      <c r="H285" s="119"/>
    </row>
    <row r="286" spans="1:8" ht="22.5">
      <c r="A286" s="111" t="s">
        <v>781</v>
      </c>
      <c r="B286" s="112" t="str">
        <f>VLOOKUP(A286,'Orçamento Sintético'!$A:$H,2,0)</f>
        <v> MPDFT0149 </v>
      </c>
      <c r="C286" s="112" t="str">
        <f>VLOOKUP(A286,'Orçamento Sintético'!$A:$H,3,0)</f>
        <v>Próprio</v>
      </c>
      <c r="D286" s="113" t="str">
        <f>VLOOKUP(A286,'Orçamento Sintético'!$A:$H,4,0)</f>
        <v>Copia da SINAPI (95471) - Bacia sanitária, Linha Vogue Plus Conforto, cor branco gelo, código P. 510, fabricação Deca - inclusive assento PLÁSTICO</v>
      </c>
      <c r="E286" s="112" t="str">
        <f>VLOOKUP(A286,'Orçamento Sintético'!$A:$H,5,0)</f>
        <v>UN</v>
      </c>
      <c r="F286" s="124"/>
      <c r="G286" s="114"/>
      <c r="H286" s="114">
        <f>SUM(H287:H294)</f>
        <v>1085.3799999999999</v>
      </c>
    </row>
    <row r="287" spans="1:8" ht="12.75">
      <c r="A287" s="115" t="str">
        <f>VLOOKUP(B287,'Insumos e Serviços'!$A:$F,3,0)</f>
        <v>Composição</v>
      </c>
      <c r="B287" s="116" t="s">
        <v>205</v>
      </c>
      <c r="C287" s="116" t="str">
        <f>VLOOKUP(B287,'Insumos e Serviços'!$A:$F,2,0)</f>
        <v>SINAPI</v>
      </c>
      <c r="D287" s="117" t="str">
        <f>VLOOKUP(B287,'Insumos e Serviços'!$A:$F,4,0)</f>
        <v>ENCANADOR OU BOMBEIRO HIDRÁULICO COM ENCARGOS COMPLEMENTARES</v>
      </c>
      <c r="E287" s="116" t="str">
        <f>VLOOKUP(B287,'Insumos e Serviços'!$A:$F,5,0)</f>
        <v>H</v>
      </c>
      <c r="F287" s="125">
        <v>1.3076</v>
      </c>
      <c r="G287" s="118">
        <v>24.48</v>
      </c>
      <c r="H287" s="118">
        <v>32.01</v>
      </c>
    </row>
    <row r="288" spans="1:8" ht="12.75">
      <c r="A288" s="115" t="str">
        <f>VLOOKUP(B288,'Insumos e Serviços'!$A:$F,3,0)</f>
        <v>Composição</v>
      </c>
      <c r="B288" s="116" t="s">
        <v>200</v>
      </c>
      <c r="C288" s="116" t="str">
        <f>VLOOKUP(B288,'Insumos e Serviços'!$A:$F,2,0)</f>
        <v>SINAPI</v>
      </c>
      <c r="D288" s="117" t="str">
        <f>VLOOKUP(B288,'Insumos e Serviços'!$A:$F,4,0)</f>
        <v>SERVENTE COM ENCARGOS COMPLEMENTARES</v>
      </c>
      <c r="E288" s="116" t="str">
        <f>VLOOKUP(B288,'Insumos e Serviços'!$A:$F,5,0)</f>
        <v>H</v>
      </c>
      <c r="F288" s="125">
        <v>0.6049</v>
      </c>
      <c r="G288" s="118">
        <v>18.65</v>
      </c>
      <c r="H288" s="118">
        <v>11.28</v>
      </c>
    </row>
    <row r="289" spans="1:8" ht="12.75">
      <c r="A289" s="115" t="str">
        <f>VLOOKUP(B289,'Insumos e Serviços'!$A:$F,3,0)</f>
        <v>Insumo</v>
      </c>
      <c r="B289" s="116" t="s">
        <v>1112</v>
      </c>
      <c r="C289" s="116" t="str">
        <f>VLOOKUP(B289,'Insumos e Serviços'!$A:$F,2,0)</f>
        <v>SINAPI</v>
      </c>
      <c r="D289" s="117" t="str">
        <f>VLOOKUP(B289,'Insumos e Serviços'!$A:$F,4,0)</f>
        <v>VEDACAO PVC, 100 MM, PARA SAIDA VASO SANITARIO</v>
      </c>
      <c r="E289" s="116" t="str">
        <f>VLOOKUP(B289,'Insumos e Serviços'!$A:$F,5,0)</f>
        <v>UN</v>
      </c>
      <c r="F289" s="125">
        <v>1</v>
      </c>
      <c r="G289" s="118">
        <v>11.42</v>
      </c>
      <c r="H289" s="118">
        <v>11.42</v>
      </c>
    </row>
    <row r="290" spans="1:8" ht="22.5">
      <c r="A290" s="115" t="str">
        <f>VLOOKUP(B290,'Insumos e Serviços'!$A:$F,3,0)</f>
        <v>Insumo</v>
      </c>
      <c r="B290" s="116" t="s">
        <v>1114</v>
      </c>
      <c r="C290" s="116" t="str">
        <f>VLOOKUP(B290,'Insumos e Serviços'!$A:$F,2,0)</f>
        <v>SINAPI</v>
      </c>
      <c r="D290" s="117" t="str">
        <f>VLOOKUP(B290,'Insumos e Serviços'!$A:$F,4,0)</f>
        <v>PARAFUSO NIQUELADO COM ACABAMENTO CROMADO PARA FIXAR PECA SANITARIA, INCLUI PORCA CEGA, ARRUELA E BUCHA DE NYLON TAMANHO S-10</v>
      </c>
      <c r="E290" s="116" t="str">
        <f>VLOOKUP(B290,'Insumos e Serviços'!$A:$F,5,0)</f>
        <v>UN</v>
      </c>
      <c r="F290" s="125">
        <v>2</v>
      </c>
      <c r="G290" s="118">
        <v>23.27</v>
      </c>
      <c r="H290" s="118">
        <v>46.54</v>
      </c>
    </row>
    <row r="291" spans="1:8" ht="12.75">
      <c r="A291" s="115" t="str">
        <f>VLOOKUP(B291,'Insumos e Serviços'!$A:$F,3,0)</f>
        <v>Insumo</v>
      </c>
      <c r="B291" s="116" t="s">
        <v>1116</v>
      </c>
      <c r="C291" s="116" t="str">
        <f>VLOOKUP(B291,'Insumos e Serviços'!$A:$F,2,0)</f>
        <v>SINAPI</v>
      </c>
      <c r="D291" s="117" t="str">
        <f>VLOOKUP(B291,'Insumos e Serviços'!$A:$F,4,0)</f>
        <v>REJUNTE EPOXI, QUALQUER COR</v>
      </c>
      <c r="E291" s="116" t="str">
        <f>VLOOKUP(B291,'Insumos e Serviços'!$A:$F,5,0)</f>
        <v>KG</v>
      </c>
      <c r="F291" s="125">
        <v>0.0881</v>
      </c>
      <c r="G291" s="118">
        <v>61.83</v>
      </c>
      <c r="H291" s="118">
        <v>5.44</v>
      </c>
    </row>
    <row r="292" spans="1:8" ht="22.5">
      <c r="A292" s="115" t="str">
        <f>VLOOKUP(B292,'Insumos e Serviços'!$A:$F,3,0)</f>
        <v>Insumo</v>
      </c>
      <c r="B292" s="116" t="s">
        <v>407</v>
      </c>
      <c r="C292" s="116" t="str">
        <f>VLOOKUP(B292,'Insumos e Serviços'!$A:$F,2,0)</f>
        <v>Próprio</v>
      </c>
      <c r="D292" s="117" t="str">
        <f>VLOOKUP(B292,'Insumos e Serviços'!$A:$F,4,0)</f>
        <v>Bacia sanitária, Linha Vogue Plus Conforto, cor branco gelo, código P. 510, fab. Deca</v>
      </c>
      <c r="E292" s="116" t="str">
        <f>VLOOKUP(B292,'Insumos e Serviços'!$A:$F,5,0)</f>
        <v>un</v>
      </c>
      <c r="F292" s="125">
        <v>1</v>
      </c>
      <c r="G292" s="118">
        <v>802.39</v>
      </c>
      <c r="H292" s="118">
        <v>802.39</v>
      </c>
    </row>
    <row r="293" spans="1:8" ht="12.75">
      <c r="A293" s="115" t="str">
        <f>VLOOKUP(B293,'Insumos e Serviços'!$A:$F,3,0)</f>
        <v>Insumo</v>
      </c>
      <c r="B293" s="116" t="s">
        <v>473</v>
      </c>
      <c r="C293" s="116" t="str">
        <f>VLOOKUP(B293,'Insumos e Serviços'!$A:$F,2,0)</f>
        <v>Próprio</v>
      </c>
      <c r="D293" s="117" t="str">
        <f>VLOOKUP(B293,'Insumos e Serviços'!$A:$F,4,0)</f>
        <v>Assento plástico Vogue Plus AP.50.17 Deca</v>
      </c>
      <c r="E293" s="116" t="str">
        <f>VLOOKUP(B293,'Insumos e Serviços'!$A:$F,5,0)</f>
        <v>un</v>
      </c>
      <c r="F293" s="125">
        <v>1</v>
      </c>
      <c r="G293" s="118">
        <v>104.12</v>
      </c>
      <c r="H293" s="118">
        <v>104.12</v>
      </c>
    </row>
    <row r="294" spans="1:8" ht="13.5" thickBot="1">
      <c r="A294" s="115" t="str">
        <f>VLOOKUP(B294,'Insumos e Serviços'!$A:$F,3,0)</f>
        <v>Insumo</v>
      </c>
      <c r="B294" s="116" t="s">
        <v>451</v>
      </c>
      <c r="C294" s="116" t="str">
        <f>VLOOKUP(B294,'Insumos e Serviços'!$A:$F,2,0)</f>
        <v>Próprio</v>
      </c>
      <c r="D294" s="117" t="str">
        <f>VLOOKUP(B294,'Insumos e Serviços'!$A:$F,4,0)</f>
        <v>Tubo de ligação para vaso sanitário, cromado, código 1968C, fabricação Deca</v>
      </c>
      <c r="E294" s="116" t="str">
        <f>VLOOKUP(B294,'Insumos e Serviços'!$A:$F,5,0)</f>
        <v>un</v>
      </c>
      <c r="F294" s="125">
        <v>1</v>
      </c>
      <c r="G294" s="118">
        <v>72.18</v>
      </c>
      <c r="H294" s="118">
        <v>72.18</v>
      </c>
    </row>
    <row r="295" spans="1:8" ht="13.5" thickTop="1">
      <c r="A295" s="119"/>
      <c r="B295" s="119"/>
      <c r="C295" s="119"/>
      <c r="D295" s="119"/>
      <c r="E295" s="119"/>
      <c r="F295" s="126"/>
      <c r="G295" s="119"/>
      <c r="H295" s="119"/>
    </row>
    <row r="296" spans="1:8" ht="33.75">
      <c r="A296" s="111" t="s">
        <v>784</v>
      </c>
      <c r="B296" s="112" t="str">
        <f>VLOOKUP(A296,'Orçamento Sintético'!$A:$H,2,0)</f>
        <v> MPDFT0259 </v>
      </c>
      <c r="C296" s="112" t="str">
        <f>VLOOKUP(A296,'Orçamento Sintético'!$A:$H,3,0)</f>
        <v>Próprio</v>
      </c>
      <c r="D296" s="113" t="str">
        <f>VLOOKUP(A296,'Orçamento Sintético'!$A:$H,4,0)</f>
        <v>Copia da SINAPI (99635) - Válvula de descarga com acabamento cromado duplo acionamento, antivandalismo, Linha Hidra Duo 1 1/2”, cód. 2545.C.112PRO e 4900.C.DUO.PRO, fab. Deca - inclusive tubo de ligação</v>
      </c>
      <c r="E296" s="112" t="str">
        <f>VLOOKUP(A296,'Orçamento Sintético'!$A:$H,5,0)</f>
        <v>UN</v>
      </c>
      <c r="F296" s="124"/>
      <c r="G296" s="114"/>
      <c r="H296" s="114">
        <f>SUM(H297:H301)</f>
        <v>432.24</v>
      </c>
    </row>
    <row r="297" spans="1:8" ht="22.5">
      <c r="A297" s="115" t="str">
        <f>VLOOKUP(B297,'Insumos e Serviços'!$A:$F,3,0)</f>
        <v>Composição</v>
      </c>
      <c r="B297" s="116" t="s">
        <v>204</v>
      </c>
      <c r="C297" s="116" t="str">
        <f>VLOOKUP(B297,'Insumos e Serviços'!$A:$F,2,0)</f>
        <v>SINAPI</v>
      </c>
      <c r="D297" s="117" t="str">
        <f>VLOOKUP(B297,'Insumos e Serviços'!$A:$F,4,0)</f>
        <v>AUXILIAR DE ENCANADOR OU BOMBEIRO HIDRÁULICO COM ENCARGOS COMPLEMENTARES</v>
      </c>
      <c r="E297" s="116" t="str">
        <f>VLOOKUP(B297,'Insumos e Serviços'!$A:$F,5,0)</f>
        <v>H</v>
      </c>
      <c r="F297" s="125">
        <v>1.8039</v>
      </c>
      <c r="G297" s="118">
        <f>VLOOKUP(B297,'Insumos e Serviços'!$A:$F,6,0)</f>
        <v>19.31</v>
      </c>
      <c r="H297" s="118">
        <f>TRUNC(F297*G297,2)</f>
        <v>34.83</v>
      </c>
    </row>
    <row r="298" spans="1:8" ht="12.75">
      <c r="A298" s="115" t="str">
        <f>VLOOKUP(B298,'Insumos e Serviços'!$A:$F,3,0)</f>
        <v>Composição</v>
      </c>
      <c r="B298" s="116" t="s">
        <v>205</v>
      </c>
      <c r="C298" s="116" t="str">
        <f>VLOOKUP(B298,'Insumos e Serviços'!$A:$F,2,0)</f>
        <v>SINAPI</v>
      </c>
      <c r="D298" s="117" t="str">
        <f>VLOOKUP(B298,'Insumos e Serviços'!$A:$F,4,0)</f>
        <v>ENCANADOR OU BOMBEIRO HIDRÁULICO COM ENCARGOS COMPLEMENTARES</v>
      </c>
      <c r="E298" s="116" t="str">
        <f>VLOOKUP(B298,'Insumos e Serviços'!$A:$F,5,0)</f>
        <v>H</v>
      </c>
      <c r="F298" s="125">
        <v>1.8039</v>
      </c>
      <c r="G298" s="118">
        <f>VLOOKUP(B298,'Insumos e Serviços'!$A:$F,6,0)</f>
        <v>24.48</v>
      </c>
      <c r="H298" s="118">
        <f>TRUNC(F298*G298,2)</f>
        <v>44.15</v>
      </c>
    </row>
    <row r="299" spans="1:8" ht="12.75">
      <c r="A299" s="115" t="str">
        <f>VLOOKUP(B299,'Insumos e Serviços'!$A:$F,3,0)</f>
        <v>Insumo</v>
      </c>
      <c r="B299" s="116" t="s">
        <v>1120</v>
      </c>
      <c r="C299" s="116" t="str">
        <f>VLOOKUP(B299,'Insumos e Serviços'!$A:$F,2,0)</f>
        <v>SINAPI</v>
      </c>
      <c r="D299" s="117" t="str">
        <f>VLOOKUP(B299,'Insumos e Serviços'!$A:$F,4,0)</f>
        <v>FITA VEDA ROSCA EM ROLOS DE 18 MM X 50 M (L X C)</v>
      </c>
      <c r="E299" s="116" t="str">
        <f>VLOOKUP(B299,'Insumos e Serviços'!$A:$F,5,0)</f>
        <v>UN</v>
      </c>
      <c r="F299" s="125">
        <v>0.0192</v>
      </c>
      <c r="G299" s="118">
        <f>VLOOKUP(B299,'Insumos e Serviços'!$A:$F,6,0)</f>
        <v>13.68</v>
      </c>
      <c r="H299" s="118">
        <f>TRUNC(F299*G299,2)</f>
        <v>0.26</v>
      </c>
    </row>
    <row r="300" spans="1:8" ht="12.75">
      <c r="A300" s="115" t="str">
        <f>VLOOKUP(B300,'Insumos e Serviços'!$A:$F,3,0)</f>
        <v>Insumo</v>
      </c>
      <c r="B300" s="116" t="s">
        <v>471</v>
      </c>
      <c r="C300" s="116" t="str">
        <f>VLOOKUP(B300,'Insumos e Serviços'!$A:$F,2,0)</f>
        <v>Próprio</v>
      </c>
      <c r="D300" s="117" t="str">
        <f>VLOOKUP(B300,'Insumos e Serviços'!$A:$F,4,0)</f>
        <v>Válvula de descarga antivandalismo 1 1/2", 4900.C.DUO.PRO, fabricação Deca</v>
      </c>
      <c r="E300" s="116" t="str">
        <f>VLOOKUP(B300,'Insumos e Serviços'!$A:$F,5,0)</f>
        <v>un</v>
      </c>
      <c r="F300" s="125">
        <v>1</v>
      </c>
      <c r="G300" s="118">
        <f>VLOOKUP(B300,'Insumos e Serviços'!$A:$F,6,0)</f>
        <v>333.05</v>
      </c>
      <c r="H300" s="118">
        <f>TRUNC(F300*G300,2)</f>
        <v>333.05</v>
      </c>
    </row>
    <row r="301" spans="1:8" ht="23.25" thickBot="1">
      <c r="A301" s="115" t="str">
        <f>VLOOKUP(B301,'Insumos e Serviços'!$A:$F,3,0)</f>
        <v>Insumo</v>
      </c>
      <c r="B301" s="116" t="s">
        <v>1122</v>
      </c>
      <c r="C301" s="116" t="str">
        <f>VLOOKUP(B301,'Insumos e Serviços'!$A:$F,2,0)</f>
        <v>SINAPI</v>
      </c>
      <c r="D301" s="117" t="str">
        <f>VLOOKUP(B301,'Insumos e Serviços'!$A:$F,4,0)</f>
        <v>TUBO DE DESCARGA, TIPO BENGALA, PARA LIGACAO CAIXA DE DESCARGA - EMBUTIR, PVC, 40 MM X 150 CM</v>
      </c>
      <c r="E301" s="116" t="str">
        <f>VLOOKUP(B301,'Insumos e Serviços'!$A:$F,5,0)</f>
        <v>UN</v>
      </c>
      <c r="F301" s="125">
        <v>1</v>
      </c>
      <c r="G301" s="118">
        <f>VLOOKUP(B301,'Insumos e Serviços'!$A:$F,6,0)</f>
        <v>19.95</v>
      </c>
      <c r="H301" s="118">
        <f>TRUNC(F301*G301,2)</f>
        <v>19.95</v>
      </c>
    </row>
    <row r="302" spans="1:8" ht="13.5" thickTop="1">
      <c r="A302" s="119"/>
      <c r="B302" s="119"/>
      <c r="C302" s="119"/>
      <c r="D302" s="119"/>
      <c r="E302" s="119"/>
      <c r="F302" s="126"/>
      <c r="G302" s="119"/>
      <c r="H302" s="119"/>
    </row>
    <row r="303" spans="1:8" ht="33.75">
      <c r="A303" s="111" t="s">
        <v>787</v>
      </c>
      <c r="B303" s="112" t="str">
        <f>VLOOKUP(A303,'Orçamento Sintético'!$A:$H,2,0)</f>
        <v> MPDFT1609 </v>
      </c>
      <c r="C303" s="112" t="str">
        <f>VLOOKUP(A303,'Orçamento Sintético'!$A:$H,3,0)</f>
        <v>Próprio</v>
      </c>
      <c r="D303" s="113" t="str">
        <f>VLOOKUP(A303,'Orçamento Sintético'!$A:$H,4,0)</f>
        <v>Copia da SBC(190207) - Acabamento cromado duplo acionamento, antivandalismo, Linha Hidra Duo 1 1/2”, cód. 2545.C.112PRO e 4900.C.DUO.PRO, fab. Deca</v>
      </c>
      <c r="E303" s="112" t="str">
        <f>VLOOKUP(A303,'Orçamento Sintético'!$A:$H,5,0)</f>
        <v>UN</v>
      </c>
      <c r="F303" s="124"/>
      <c r="G303" s="114"/>
      <c r="H303" s="114">
        <f>SUM(H304:H306)</f>
        <v>234.12</v>
      </c>
    </row>
    <row r="304" spans="1:8" ht="22.5">
      <c r="A304" s="115" t="str">
        <f>VLOOKUP(B304,'Insumos e Serviços'!$A:$F,3,0)</f>
        <v>Composição</v>
      </c>
      <c r="B304" s="116" t="s">
        <v>204</v>
      </c>
      <c r="C304" s="116" t="str">
        <f>VLOOKUP(B304,'Insumos e Serviços'!$A:$F,2,0)</f>
        <v>SINAPI</v>
      </c>
      <c r="D304" s="117" t="str">
        <f>VLOOKUP(B304,'Insumos e Serviços'!$A:$F,4,0)</f>
        <v>AUXILIAR DE ENCANADOR OU BOMBEIRO HIDRÁULICO COM ENCARGOS COMPLEMENTARES</v>
      </c>
      <c r="E304" s="116" t="str">
        <f>VLOOKUP(B304,'Insumos e Serviços'!$A:$F,5,0)</f>
        <v>H</v>
      </c>
      <c r="F304" s="125">
        <v>0.22</v>
      </c>
      <c r="G304" s="118">
        <f>VLOOKUP(B304,'Insumos e Serviços'!$A:$F,6,0)</f>
        <v>19.31</v>
      </c>
      <c r="H304" s="118">
        <f>TRUNC(F304*G304,2)</f>
        <v>4.24</v>
      </c>
    </row>
    <row r="305" spans="1:8" ht="12.75">
      <c r="A305" s="115" t="str">
        <f>VLOOKUP(B305,'Insumos e Serviços'!$A:$F,3,0)</f>
        <v>Composição</v>
      </c>
      <c r="B305" s="116" t="s">
        <v>205</v>
      </c>
      <c r="C305" s="116" t="str">
        <f>VLOOKUP(B305,'Insumos e Serviços'!$A:$F,2,0)</f>
        <v>SINAPI</v>
      </c>
      <c r="D305" s="117" t="str">
        <f>VLOOKUP(B305,'Insumos e Serviços'!$A:$F,4,0)</f>
        <v>ENCANADOR OU BOMBEIRO HIDRÁULICO COM ENCARGOS COMPLEMENTARES</v>
      </c>
      <c r="E305" s="116" t="str">
        <f>VLOOKUP(B305,'Insumos e Serviços'!$A:$F,5,0)</f>
        <v>H</v>
      </c>
      <c r="F305" s="125">
        <v>0.22</v>
      </c>
      <c r="G305" s="118">
        <f>VLOOKUP(B305,'Insumos e Serviços'!$A:$F,6,0)</f>
        <v>24.48</v>
      </c>
      <c r="H305" s="118">
        <f>TRUNC(F305*G305,2)</f>
        <v>5.38</v>
      </c>
    </row>
    <row r="306" spans="1:8" ht="23.25" thickBot="1">
      <c r="A306" s="115" t="str">
        <f>VLOOKUP(B306,'Insumos e Serviços'!$A:$F,3,0)</f>
        <v>Insumo</v>
      </c>
      <c r="B306" s="116" t="s">
        <v>522</v>
      </c>
      <c r="C306" s="116" t="str">
        <f>VLOOKUP(B306,'Insumos e Serviços'!$A:$F,2,0)</f>
        <v>Próprio</v>
      </c>
      <c r="D306" s="117" t="str">
        <f>VLOOKUP(B306,'Insumos e Serviços'!$A:$F,4,0)</f>
        <v>Acabamento cromado duplo acionamento, antivandalismo, Linha Hidra Duo 1 1/2”, cód. 2545.C.112PRO e 4900.C.DUO.PRO, fab. Deca</v>
      </c>
      <c r="E306" s="116" t="str">
        <f>VLOOKUP(B306,'Insumos e Serviços'!$A:$F,5,0)</f>
        <v>un</v>
      </c>
      <c r="F306" s="125">
        <v>1</v>
      </c>
      <c r="G306" s="118">
        <f>VLOOKUP(B306,'Insumos e Serviços'!$A:$F,6,0)</f>
        <v>224.5</v>
      </c>
      <c r="H306" s="118">
        <f>TRUNC(F306*G306,2)</f>
        <v>224.5</v>
      </c>
    </row>
    <row r="307" spans="1:8" ht="13.5" thickTop="1">
      <c r="A307" s="119"/>
      <c r="B307" s="119"/>
      <c r="C307" s="119"/>
      <c r="D307" s="119"/>
      <c r="E307" s="119"/>
      <c r="F307" s="126"/>
      <c r="G307" s="119"/>
      <c r="H307" s="119"/>
    </row>
    <row r="308" spans="1:8" ht="22.5">
      <c r="A308" s="111" t="s">
        <v>790</v>
      </c>
      <c r="B308" s="112" t="str">
        <f>VLOOKUP(A308,'Orçamento Sintético'!$A:$H,2,0)</f>
        <v> MPDFT0261 </v>
      </c>
      <c r="C308" s="112" t="str">
        <f>VLOOKUP(A308,'Orçamento Sintético'!$A:$H,3,0)</f>
        <v>Próprio</v>
      </c>
      <c r="D308" s="113" t="str">
        <f>VLOOKUP(A308,'Orçamento Sintético'!$A:$H,4,0)</f>
        <v>Copia da Sinapi (100858) - Mictório branco com sifão integrado, cód. M 715.17, fab. Deca - completo</v>
      </c>
      <c r="E308" s="112" t="str">
        <f>VLOOKUP(A308,'Orçamento Sintético'!$A:$H,5,0)</f>
        <v>un</v>
      </c>
      <c r="F308" s="124"/>
      <c r="G308" s="114"/>
      <c r="H308" s="114">
        <f>SUM(H309:H315)</f>
        <v>905.55</v>
      </c>
    </row>
    <row r="309" spans="1:8" ht="12.75">
      <c r="A309" s="115" t="str">
        <f>VLOOKUP(B309,'Insumos e Serviços'!$A:$F,3,0)</f>
        <v>Composição</v>
      </c>
      <c r="B309" s="116" t="s">
        <v>205</v>
      </c>
      <c r="C309" s="116" t="str">
        <f>VLOOKUP(B309,'Insumos e Serviços'!$A:$F,2,0)</f>
        <v>SINAPI</v>
      </c>
      <c r="D309" s="117" t="str">
        <f>VLOOKUP(B309,'Insumos e Serviços'!$A:$F,4,0)</f>
        <v>ENCANADOR OU BOMBEIRO HIDRÁULICO COM ENCARGOS COMPLEMENTARES</v>
      </c>
      <c r="E309" s="116" t="str">
        <f>VLOOKUP(B309,'Insumos e Serviços'!$A:$F,5,0)</f>
        <v>H</v>
      </c>
      <c r="F309" s="125">
        <v>1.009</v>
      </c>
      <c r="G309" s="118">
        <f>VLOOKUP(B309,'Insumos e Serviços'!$A:$F,6,0)</f>
        <v>24.48</v>
      </c>
      <c r="H309" s="118">
        <f aca="true" t="shared" si="11" ref="H309:H315">TRUNC(F309*G309,2)</f>
        <v>24.7</v>
      </c>
    </row>
    <row r="310" spans="1:8" ht="22.5">
      <c r="A310" s="115" t="str">
        <f>VLOOKUP(B310,'Insumos e Serviços'!$A:$F,3,0)</f>
        <v>Composição</v>
      </c>
      <c r="B310" s="116" t="s">
        <v>204</v>
      </c>
      <c r="C310" s="116" t="str">
        <f>VLOOKUP(B310,'Insumos e Serviços'!$A:$F,2,0)</f>
        <v>SINAPI</v>
      </c>
      <c r="D310" s="117" t="str">
        <f>VLOOKUP(B310,'Insumos e Serviços'!$A:$F,4,0)</f>
        <v>AUXILIAR DE ENCANADOR OU BOMBEIRO HIDRÁULICO COM ENCARGOS COMPLEMENTARES</v>
      </c>
      <c r="E310" s="116" t="str">
        <f>VLOOKUP(B310,'Insumos e Serviços'!$A:$F,5,0)</f>
        <v>H</v>
      </c>
      <c r="F310" s="125">
        <v>0.3179</v>
      </c>
      <c r="G310" s="118">
        <f>VLOOKUP(B310,'Insumos e Serviços'!$A:$F,6,0)</f>
        <v>19.31</v>
      </c>
      <c r="H310" s="118">
        <f t="shared" si="11"/>
        <v>6.13</v>
      </c>
    </row>
    <row r="311" spans="1:8" ht="22.5">
      <c r="A311" s="115" t="str">
        <f>VLOOKUP(B311,'Insumos e Serviços'!$A:$F,3,0)</f>
        <v>Insumo</v>
      </c>
      <c r="B311" s="116" t="s">
        <v>436</v>
      </c>
      <c r="C311" s="116" t="str">
        <f>VLOOKUP(B311,'Insumos e Serviços'!$A:$F,2,0)</f>
        <v>Próprio</v>
      </c>
      <c r="D311" s="117" t="str">
        <f>VLOOKUP(B311,'Insumos e Serviços'!$A:$F,4,0)</f>
        <v>Válvula para mictório de fechamento automático, fab. Deca, Linha Decamatic, código 2570 C, acabamento cromado</v>
      </c>
      <c r="E311" s="116" t="str">
        <f>VLOOKUP(B311,'Insumos e Serviços'!$A:$F,5,0)</f>
        <v>un</v>
      </c>
      <c r="F311" s="125">
        <v>1</v>
      </c>
      <c r="G311" s="118">
        <f>VLOOKUP(B311,'Insumos e Serviços'!$A:$F,6,0)</f>
        <v>553.09</v>
      </c>
      <c r="H311" s="118">
        <f t="shared" si="11"/>
        <v>553.09</v>
      </c>
    </row>
    <row r="312" spans="1:8" ht="22.5">
      <c r="A312" s="115" t="str">
        <f>VLOOKUP(B312,'Insumos e Serviços'!$A:$F,3,0)</f>
        <v>Insumo</v>
      </c>
      <c r="B312" s="116" t="s">
        <v>1118</v>
      </c>
      <c r="C312" s="116" t="str">
        <f>VLOOKUP(B312,'Insumos e Serviços'!$A:$F,2,0)</f>
        <v>SINAPI</v>
      </c>
      <c r="D312" s="117" t="str">
        <f>VLOOKUP(B312,'Insumos e Serviços'!$A:$F,4,0)</f>
        <v>CONJUNTO DE LIGACAO PARA BACIA SANITARIA EM PLASTICO BRANCO COM TUBO, CANOPLA E ANEL DE EXPANSAO (TUBO 1.1/2 '' X 20 CM)</v>
      </c>
      <c r="E312" s="116" t="str">
        <f>VLOOKUP(B312,'Insumos e Serviços'!$A:$F,5,0)</f>
        <v>UN</v>
      </c>
      <c r="F312" s="125">
        <v>1</v>
      </c>
      <c r="G312" s="118">
        <f>VLOOKUP(B312,'Insumos e Serviços'!$A:$F,6,0)</f>
        <v>10.17</v>
      </c>
      <c r="H312" s="118">
        <f t="shared" si="11"/>
        <v>10.17</v>
      </c>
    </row>
    <row r="313" spans="1:8" ht="12.75">
      <c r="A313" s="115" t="str">
        <f>VLOOKUP(B313,'Insumos e Serviços'!$A:$F,3,0)</f>
        <v>Insumo</v>
      </c>
      <c r="B313" s="116" t="s">
        <v>1124</v>
      </c>
      <c r="C313" s="116" t="str">
        <f>VLOOKUP(B313,'Insumos e Serviços'!$A:$F,2,0)</f>
        <v>SINAPI</v>
      </c>
      <c r="D313" s="117" t="str">
        <f>VLOOKUP(B313,'Insumos e Serviços'!$A:$F,4,0)</f>
        <v>FITA VEDA ROSCA EM ROLOS DE 18 MM X 10 M (L X C)</v>
      </c>
      <c r="E313" s="116" t="str">
        <f>VLOOKUP(B313,'Insumos e Serviços'!$A:$F,5,0)</f>
        <v>UN</v>
      </c>
      <c r="F313" s="125">
        <v>0.0365</v>
      </c>
      <c r="G313" s="118">
        <f>VLOOKUP(B313,'Insumos e Serviços'!$A:$F,6,0)</f>
        <v>3.71</v>
      </c>
      <c r="H313" s="118">
        <f t="shared" si="11"/>
        <v>0.13</v>
      </c>
    </row>
    <row r="314" spans="1:8" ht="12.75">
      <c r="A314" s="115" t="str">
        <f>VLOOKUP(B314,'Insumos e Serviços'!$A:$F,3,0)</f>
        <v>Insumo</v>
      </c>
      <c r="B314" s="116" t="s">
        <v>1126</v>
      </c>
      <c r="C314" s="116" t="str">
        <f>VLOOKUP(B314,'Insumos e Serviços'!$A:$F,2,0)</f>
        <v>SINAPI</v>
      </c>
      <c r="D314" s="117" t="str">
        <f>VLOOKUP(B314,'Insumos e Serviços'!$A:$F,4,0)</f>
        <v>MICTORIO SIFONADO LOUCA BRANCA SEM COMPLEMENTOS</v>
      </c>
      <c r="E314" s="116" t="str">
        <f>VLOOKUP(B314,'Insumos e Serviços'!$A:$F,5,0)</f>
        <v>UN</v>
      </c>
      <c r="F314" s="125">
        <v>1</v>
      </c>
      <c r="G314" s="118">
        <f>VLOOKUP(B314,'Insumos e Serviços'!$A:$F,6,0)</f>
        <v>276.83</v>
      </c>
      <c r="H314" s="118">
        <f t="shared" si="11"/>
        <v>276.83</v>
      </c>
    </row>
    <row r="315" spans="1:8" ht="23.25" thickBot="1">
      <c r="A315" s="115" t="str">
        <f>VLOOKUP(B315,'Insumos e Serviços'!$A:$F,3,0)</f>
        <v>Insumo</v>
      </c>
      <c r="B315" s="116" t="s">
        <v>1128</v>
      </c>
      <c r="C315" s="116" t="str">
        <f>VLOOKUP(B315,'Insumos e Serviços'!$A:$F,2,0)</f>
        <v>SINAPI</v>
      </c>
      <c r="D315" s="117" t="str">
        <f>VLOOKUP(B315,'Insumos e Serviços'!$A:$F,4,0)</f>
        <v>PARAFUSO NIQUELADO 3 1/2" COM ACABAMENTO CROMADO PARA FIXAR PECA SANITARIA, INCLUI PORCA CEGA, ARRUELA E BUCHA DE NYLON TAMANHO S-8</v>
      </c>
      <c r="E315" s="116" t="str">
        <f>VLOOKUP(B315,'Insumos e Serviços'!$A:$F,5,0)</f>
        <v>UN</v>
      </c>
      <c r="F315" s="125">
        <v>2</v>
      </c>
      <c r="G315" s="118">
        <f>VLOOKUP(B315,'Insumos e Serviços'!$A:$F,6,0)</f>
        <v>17.25</v>
      </c>
      <c r="H315" s="118">
        <f t="shared" si="11"/>
        <v>34.5</v>
      </c>
    </row>
    <row r="316" spans="1:8" ht="13.5" thickTop="1">
      <c r="A316" s="119"/>
      <c r="B316" s="119"/>
      <c r="C316" s="119"/>
      <c r="D316" s="119"/>
      <c r="E316" s="119"/>
      <c r="F316" s="126"/>
      <c r="G316" s="119"/>
      <c r="H316" s="119"/>
    </row>
    <row r="317" spans="1:8" ht="22.5">
      <c r="A317" s="111" t="s">
        <v>793</v>
      </c>
      <c r="B317" s="112" t="str">
        <f>VLOOKUP(A317,'Orçamento Sintético'!$A:$H,2,0)</f>
        <v> MPDFT0304 </v>
      </c>
      <c r="C317" s="112" t="str">
        <f>VLOOKUP(A317,'Orçamento Sintético'!$A:$H,3,0)</f>
        <v>Próprio</v>
      </c>
      <c r="D317" s="113" t="str">
        <f>VLOOKUP(A317,'Orçamento Sintético'!$A:$H,4,0)</f>
        <v>Copia da SINAPI (86904) - Lavatório de semi-encaixe em louça, branco, fixado sobre a bancada. Ref. Linha Monte Carlo L82.17, fab. Deca</v>
      </c>
      <c r="E317" s="112" t="str">
        <f>VLOOKUP(A317,'Orçamento Sintético'!$A:$H,5,0)</f>
        <v>UN</v>
      </c>
      <c r="F317" s="124"/>
      <c r="G317" s="114"/>
      <c r="H317" s="114">
        <f>SUM(H318:H322)</f>
        <v>405.27000000000004</v>
      </c>
    </row>
    <row r="318" spans="1:8" ht="12.75">
      <c r="A318" s="115" t="str">
        <f>VLOOKUP(B318,'Insumos e Serviços'!$A:$F,3,0)</f>
        <v>Composição</v>
      </c>
      <c r="B318" s="116" t="s">
        <v>205</v>
      </c>
      <c r="C318" s="116" t="str">
        <f>VLOOKUP(B318,'Insumos e Serviços'!$A:$F,2,0)</f>
        <v>SINAPI</v>
      </c>
      <c r="D318" s="117" t="str">
        <f>VLOOKUP(B318,'Insumos e Serviços'!$A:$F,4,0)</f>
        <v>ENCANADOR OU BOMBEIRO HIDRÁULICO COM ENCARGOS COMPLEMENTARES</v>
      </c>
      <c r="E318" s="116" t="str">
        <f>VLOOKUP(B318,'Insumos e Serviços'!$A:$F,5,0)</f>
        <v>H</v>
      </c>
      <c r="F318" s="125">
        <v>0.387</v>
      </c>
      <c r="G318" s="118">
        <f>VLOOKUP(B318,'Insumos e Serviços'!$A:$F,6,0)</f>
        <v>24.48</v>
      </c>
      <c r="H318" s="118">
        <f>TRUNC(F318*G318,2)</f>
        <v>9.47</v>
      </c>
    </row>
    <row r="319" spans="1:8" ht="12.75">
      <c r="A319" s="115" t="str">
        <f>VLOOKUP(B319,'Insumos e Serviços'!$A:$F,3,0)</f>
        <v>Composição</v>
      </c>
      <c r="B319" s="116" t="s">
        <v>200</v>
      </c>
      <c r="C319" s="116" t="str">
        <f>VLOOKUP(B319,'Insumos e Serviços'!$A:$F,2,0)</f>
        <v>SINAPI</v>
      </c>
      <c r="D319" s="117" t="str">
        <f>VLOOKUP(B319,'Insumos e Serviços'!$A:$F,4,0)</f>
        <v>SERVENTE COM ENCARGOS COMPLEMENTARES</v>
      </c>
      <c r="E319" s="116" t="str">
        <f>VLOOKUP(B319,'Insumos e Serviços'!$A:$F,5,0)</f>
        <v>H</v>
      </c>
      <c r="F319" s="125">
        <v>0.1886</v>
      </c>
      <c r="G319" s="118">
        <f>VLOOKUP(B319,'Insumos e Serviços'!$A:$F,6,0)</f>
        <v>18.65</v>
      </c>
      <c r="H319" s="118">
        <f>TRUNC(F319*G319,2)</f>
        <v>3.51</v>
      </c>
    </row>
    <row r="320" spans="1:8" ht="22.5">
      <c r="A320" s="115" t="str">
        <f>VLOOKUP(B320,'Insumos e Serviços'!$A:$F,3,0)</f>
        <v>Insumo</v>
      </c>
      <c r="B320" s="116" t="s">
        <v>1128</v>
      </c>
      <c r="C320" s="116" t="str">
        <f>VLOOKUP(B320,'Insumos e Serviços'!$A:$F,2,0)</f>
        <v>SINAPI</v>
      </c>
      <c r="D320" s="117" t="str">
        <f>VLOOKUP(B320,'Insumos e Serviços'!$A:$F,4,0)</f>
        <v>PARAFUSO NIQUELADO 3 1/2" COM ACABAMENTO CROMADO PARA FIXAR PECA SANITARIA, INCLUI PORCA CEGA, ARRUELA E BUCHA DE NYLON TAMANHO S-8</v>
      </c>
      <c r="E320" s="116" t="str">
        <f>VLOOKUP(B320,'Insumos e Serviços'!$A:$F,5,0)</f>
        <v>UN</v>
      </c>
      <c r="F320" s="125">
        <v>2</v>
      </c>
      <c r="G320" s="118">
        <f>VLOOKUP(B320,'Insumos e Serviços'!$A:$F,6,0)</f>
        <v>17.25</v>
      </c>
      <c r="H320" s="118">
        <f>TRUNC(F320*G320,2)</f>
        <v>34.5</v>
      </c>
    </row>
    <row r="321" spans="1:8" ht="12.75">
      <c r="A321" s="115" t="str">
        <f>VLOOKUP(B321,'Insumos e Serviços'!$A:$F,3,0)</f>
        <v>Insumo</v>
      </c>
      <c r="B321" s="116" t="s">
        <v>1116</v>
      </c>
      <c r="C321" s="116" t="str">
        <f>VLOOKUP(B321,'Insumos e Serviços'!$A:$F,2,0)</f>
        <v>SINAPI</v>
      </c>
      <c r="D321" s="117" t="str">
        <f>VLOOKUP(B321,'Insumos e Serviços'!$A:$F,4,0)</f>
        <v>REJUNTE EPOXI, QUALQUER COR</v>
      </c>
      <c r="E321" s="116" t="str">
        <f>VLOOKUP(B321,'Insumos e Serviços'!$A:$F,5,0)</f>
        <v>KG</v>
      </c>
      <c r="F321" s="125">
        <v>0.0304</v>
      </c>
      <c r="G321" s="118">
        <f>VLOOKUP(B321,'Insumos e Serviços'!$A:$F,6,0)</f>
        <v>61.83</v>
      </c>
      <c r="H321" s="118">
        <f>TRUNC(F321*G321,2)</f>
        <v>1.87</v>
      </c>
    </row>
    <row r="322" spans="1:8" ht="23.25" thickBot="1">
      <c r="A322" s="115" t="str">
        <f>VLOOKUP(B322,'Insumos e Serviços'!$A:$F,3,0)</f>
        <v>Insumo</v>
      </c>
      <c r="B322" s="116" t="s">
        <v>419</v>
      </c>
      <c r="C322" s="116" t="str">
        <f>VLOOKUP(B322,'Insumos e Serviços'!$A:$F,2,0)</f>
        <v>Próprio</v>
      </c>
      <c r="D322" s="117" t="str">
        <f>VLOOKUP(B322,'Insumos e Serviços'!$A:$F,4,0)</f>
        <v>Lavatório de semi-encaixe de louça, linha Monte Carlo, cor branco gelo, código L82, fab. Deca</v>
      </c>
      <c r="E322" s="116" t="str">
        <f>VLOOKUP(B322,'Insumos e Serviços'!$A:$F,5,0)</f>
        <v>un</v>
      </c>
      <c r="F322" s="125">
        <v>1</v>
      </c>
      <c r="G322" s="118">
        <f>VLOOKUP(B322,'Insumos e Serviços'!$A:$F,6,0)</f>
        <v>355.92</v>
      </c>
      <c r="H322" s="118">
        <f>TRUNC(F322*G322,2)</f>
        <v>355.92</v>
      </c>
    </row>
    <row r="323" spans="1:8" ht="13.5" thickTop="1">
      <c r="A323" s="119"/>
      <c r="B323" s="119"/>
      <c r="C323" s="119"/>
      <c r="D323" s="119"/>
      <c r="E323" s="119"/>
      <c r="F323" s="126"/>
      <c r="G323" s="119"/>
      <c r="H323" s="119"/>
    </row>
    <row r="324" spans="1:8" ht="22.5">
      <c r="A324" s="111" t="s">
        <v>796</v>
      </c>
      <c r="B324" s="112" t="str">
        <f>VLOOKUP(A324,'Orçamento Sintético'!$A:$H,2,0)</f>
        <v> MPDFT0270 </v>
      </c>
      <c r="C324" s="112" t="str">
        <f>VLOOKUP(A324,'Orçamento Sintético'!$A:$H,3,0)</f>
        <v>Próprio</v>
      </c>
      <c r="D324" s="113" t="str">
        <f>VLOOKUP(A324,'Orçamento Sintético'!$A:$H,4,0)</f>
        <v>Conjunto de metais para lavatório instalado em bancada de granito, inclusive torneira</v>
      </c>
      <c r="E324" s="112" t="str">
        <f>VLOOKUP(A324,'Orçamento Sintético'!$A:$H,5,0)</f>
        <v>cj</v>
      </c>
      <c r="F324" s="124"/>
      <c r="G324" s="114"/>
      <c r="H324" s="114">
        <f>SUM(H325:H331)</f>
        <v>804.37</v>
      </c>
    </row>
    <row r="325" spans="1:8" ht="12.75">
      <c r="A325" s="115" t="str">
        <f>VLOOKUP(B325,'Insumos e Serviços'!$A:$F,3,0)</f>
        <v>Composição</v>
      </c>
      <c r="B325" s="116" t="s">
        <v>205</v>
      </c>
      <c r="C325" s="116" t="str">
        <f>VLOOKUP(B325,'Insumos e Serviços'!$A:$F,2,0)</f>
        <v>SINAPI</v>
      </c>
      <c r="D325" s="117" t="str">
        <f>VLOOKUP(B325,'Insumos e Serviços'!$A:$F,4,0)</f>
        <v>ENCANADOR OU BOMBEIRO HIDRÁULICO COM ENCARGOS COMPLEMENTARES</v>
      </c>
      <c r="E325" s="116" t="str">
        <f>VLOOKUP(B325,'Insumos e Serviços'!$A:$F,5,0)</f>
        <v>H</v>
      </c>
      <c r="F325" s="125">
        <v>0.7666</v>
      </c>
      <c r="G325" s="118">
        <f>VLOOKUP(B325,'Insumos e Serviços'!$A:$F,6,0)</f>
        <v>24.48</v>
      </c>
      <c r="H325" s="118">
        <f aca="true" t="shared" si="12" ref="H325:H331">TRUNC(F325*G325,2)</f>
        <v>18.76</v>
      </c>
    </row>
    <row r="326" spans="1:8" ht="12.75">
      <c r="A326" s="115" t="str">
        <f>VLOOKUP(B326,'Insumos e Serviços'!$A:$F,3,0)</f>
        <v>Composição</v>
      </c>
      <c r="B326" s="116" t="s">
        <v>200</v>
      </c>
      <c r="C326" s="116" t="str">
        <f>VLOOKUP(B326,'Insumos e Serviços'!$A:$F,2,0)</f>
        <v>SINAPI</v>
      </c>
      <c r="D326" s="117" t="str">
        <f>VLOOKUP(B326,'Insumos e Serviços'!$A:$F,4,0)</f>
        <v>SERVENTE COM ENCARGOS COMPLEMENTARES</v>
      </c>
      <c r="E326" s="116" t="str">
        <f>VLOOKUP(B326,'Insumos e Serviços'!$A:$F,5,0)</f>
        <v>H</v>
      </c>
      <c r="F326" s="125">
        <v>0.2416</v>
      </c>
      <c r="G326" s="118">
        <f>VLOOKUP(B326,'Insumos e Serviços'!$A:$F,6,0)</f>
        <v>18.65</v>
      </c>
      <c r="H326" s="118">
        <f t="shared" si="12"/>
        <v>4.5</v>
      </c>
    </row>
    <row r="327" spans="1:8" ht="12.75">
      <c r="A327" s="115" t="str">
        <f>VLOOKUP(B327,'Insumos e Serviços'!$A:$F,3,0)</f>
        <v>Insumo</v>
      </c>
      <c r="B327" s="116" t="s">
        <v>411</v>
      </c>
      <c r="C327" s="116" t="str">
        <f>VLOOKUP(B327,'Insumos e Serviços'!$A:$F,2,0)</f>
        <v>Próprio</v>
      </c>
      <c r="D327" s="117" t="str">
        <f>VLOOKUP(B327,'Insumos e Serviços'!$A:$F,4,0)</f>
        <v>Válvula de escoamento, cromada, cod.1601C, fab. Deca</v>
      </c>
      <c r="E327" s="116" t="str">
        <f>VLOOKUP(B327,'Insumos e Serviços'!$A:$F,5,0)</f>
        <v>un</v>
      </c>
      <c r="F327" s="125">
        <v>1</v>
      </c>
      <c r="G327" s="118">
        <f>VLOOKUP(B327,'Insumos e Serviços'!$A:$F,6,0)</f>
        <v>160.39</v>
      </c>
      <c r="H327" s="118">
        <f t="shared" si="12"/>
        <v>160.39</v>
      </c>
    </row>
    <row r="328" spans="1:8" ht="12.75">
      <c r="A328" s="115" t="str">
        <f>VLOOKUP(B328,'Insumos e Serviços'!$A:$F,3,0)</f>
        <v>Insumo</v>
      </c>
      <c r="B328" s="116" t="s">
        <v>1124</v>
      </c>
      <c r="C328" s="116" t="str">
        <f>VLOOKUP(B328,'Insumos e Serviços'!$A:$F,2,0)</f>
        <v>SINAPI</v>
      </c>
      <c r="D328" s="117" t="str">
        <f>VLOOKUP(B328,'Insumos e Serviços'!$A:$F,4,0)</f>
        <v>FITA VEDA ROSCA EM ROLOS DE 18 MM X 10 M (L X C)</v>
      </c>
      <c r="E328" s="116" t="str">
        <f>VLOOKUP(B328,'Insumos e Serviços'!$A:$F,5,0)</f>
        <v>UN</v>
      </c>
      <c r="F328" s="125">
        <v>0.1232</v>
      </c>
      <c r="G328" s="118">
        <f>VLOOKUP(B328,'Insumos e Serviços'!$A:$F,6,0)</f>
        <v>3.71</v>
      </c>
      <c r="H328" s="118">
        <f t="shared" si="12"/>
        <v>0.45</v>
      </c>
    </row>
    <row r="329" spans="1:8" ht="22.5">
      <c r="A329" s="115" t="str">
        <f>VLOOKUP(B329,'Insumos e Serviços'!$A:$F,3,0)</f>
        <v>Insumo</v>
      </c>
      <c r="B329" s="116" t="s">
        <v>409</v>
      </c>
      <c r="C329" s="116" t="str">
        <f>VLOOKUP(B329,'Insumos e Serviços'!$A:$F,2,0)</f>
        <v>Próprio</v>
      </c>
      <c r="D329" s="117" t="str">
        <f>VLOOKUP(B329,'Insumos e Serviços'!$A:$F,4,0)</f>
        <v>Torneira para lavatório de mesa, cromada, fechamento automático, Decamatic Eco, Código 1173.C, fab. Deca</v>
      </c>
      <c r="E329" s="116" t="str">
        <f>VLOOKUP(B329,'Insumos e Serviços'!$A:$F,5,0)</f>
        <v>un</v>
      </c>
      <c r="F329" s="125">
        <v>1</v>
      </c>
      <c r="G329" s="118">
        <f>VLOOKUP(B329,'Insumos e Serviços'!$A:$F,6,0)</f>
        <v>423.67</v>
      </c>
      <c r="H329" s="118">
        <f t="shared" si="12"/>
        <v>423.67</v>
      </c>
    </row>
    <row r="330" spans="1:8" ht="22.5">
      <c r="A330" s="115" t="str">
        <f>VLOOKUP(B330,'Insumos e Serviços'!$A:$F,3,0)</f>
        <v>Insumo</v>
      </c>
      <c r="B330" s="116" t="s">
        <v>491</v>
      </c>
      <c r="C330" s="116" t="str">
        <f>VLOOKUP(B330,'Insumos e Serviços'!$A:$F,2,0)</f>
        <v>Próprio</v>
      </c>
      <c r="D330" s="117" t="str">
        <f>VLOOKUP(B330,'Insumos e Serviços'!$A:$F,4,0)</f>
        <v>Sifão regulável com tubo de saída corrugável 1x1.1/2", VSM 182, fabricação Esteves</v>
      </c>
      <c r="E330" s="116" t="str">
        <f>VLOOKUP(B330,'Insumos e Serviços'!$A:$F,5,0)</f>
        <v>un</v>
      </c>
      <c r="F330" s="125">
        <v>1</v>
      </c>
      <c r="G330" s="118">
        <f>VLOOKUP(B330,'Insumos e Serviços'!$A:$F,6,0)</f>
        <v>155.52</v>
      </c>
      <c r="H330" s="118">
        <f t="shared" si="12"/>
        <v>155.52</v>
      </c>
    </row>
    <row r="331" spans="1:8" ht="13.5" thickBot="1">
      <c r="A331" s="115" t="str">
        <f>VLOOKUP(B331,'Insumos e Serviços'!$A:$F,3,0)</f>
        <v>Insumo</v>
      </c>
      <c r="B331" s="116" t="s">
        <v>1130</v>
      </c>
      <c r="C331" s="116" t="str">
        <f>VLOOKUP(B331,'Insumos e Serviços'!$A:$F,2,0)</f>
        <v>SINAPI</v>
      </c>
      <c r="D331" s="117" t="str">
        <f>VLOOKUP(B331,'Insumos e Serviços'!$A:$F,4,0)</f>
        <v>ENGATE / RABICHO FLEXIVEL INOX 1/2 " X 40 CM</v>
      </c>
      <c r="E331" s="116" t="str">
        <f>VLOOKUP(B331,'Insumos e Serviços'!$A:$F,5,0)</f>
        <v>UN</v>
      </c>
      <c r="F331" s="125">
        <v>1</v>
      </c>
      <c r="G331" s="118">
        <f>VLOOKUP(B331,'Insumos e Serviços'!$A:$F,6,0)</f>
        <v>41.08</v>
      </c>
      <c r="H331" s="118">
        <f t="shared" si="12"/>
        <v>41.08</v>
      </c>
    </row>
    <row r="332" spans="1:8" ht="13.5" thickTop="1">
      <c r="A332" s="119"/>
      <c r="B332" s="119"/>
      <c r="C332" s="119"/>
      <c r="D332" s="119"/>
      <c r="E332" s="119"/>
      <c r="F332" s="126"/>
      <c r="G332" s="119"/>
      <c r="H332" s="119"/>
    </row>
    <row r="333" spans="1:8" ht="33.75">
      <c r="A333" s="111" t="s">
        <v>800</v>
      </c>
      <c r="B333" s="112" t="str">
        <f>VLOOKUP(A333,'Orçamento Sintético'!$A:$H,2,0)</f>
        <v> MPDFT0303 </v>
      </c>
      <c r="C333" s="112" t="str">
        <f>VLOOKUP(A333,'Orçamento Sintético'!$A:$H,3,0)</f>
        <v>Próprio</v>
      </c>
      <c r="D333" s="113" t="str">
        <f>VLOOKUP(A333,'Orçamento Sintético'!$A:$H,4,0)</f>
        <v>Copia da SINAPI (86903) - Lavatório com coluna suspensa (PCD), branco. Linha Vogue Plus, cód.:L51.17 (lavatório) e cód.: CS1.17 (coluna suspensa), fab. Deca</v>
      </c>
      <c r="E333" s="112" t="str">
        <f>VLOOKUP(A333,'Orçamento Sintético'!$A:$H,5,0)</f>
        <v>UN</v>
      </c>
      <c r="F333" s="124"/>
      <c r="G333" s="114"/>
      <c r="H333" s="114">
        <f>SUM(H334:H339)</f>
        <v>768.63</v>
      </c>
    </row>
    <row r="334" spans="1:8" ht="12.75">
      <c r="A334" s="115" t="str">
        <f>VLOOKUP(B334,'Insumos e Serviços'!$A:$F,3,0)</f>
        <v>Composição</v>
      </c>
      <c r="B334" s="116" t="s">
        <v>205</v>
      </c>
      <c r="C334" s="116" t="str">
        <f>VLOOKUP(B334,'Insumos e Serviços'!$A:$F,2,0)</f>
        <v>SINAPI</v>
      </c>
      <c r="D334" s="117" t="str">
        <f>VLOOKUP(B334,'Insumos e Serviços'!$A:$F,4,0)</f>
        <v>ENCANADOR OU BOMBEIRO HIDRÁULICO COM ENCARGOS COMPLEMENTARES</v>
      </c>
      <c r="E334" s="116" t="str">
        <f>VLOOKUP(B334,'Insumos e Serviços'!$A:$F,5,0)</f>
        <v>H</v>
      </c>
      <c r="F334" s="125">
        <v>1.4667</v>
      </c>
      <c r="G334" s="118">
        <f>VLOOKUP(B334,'Insumos e Serviços'!$A:$F,6,0)</f>
        <v>24.48</v>
      </c>
      <c r="H334" s="118">
        <f aca="true" t="shared" si="13" ref="H334:H339">TRUNC(F334*G334,2)</f>
        <v>35.9</v>
      </c>
    </row>
    <row r="335" spans="1:8" ht="12.75">
      <c r="A335" s="115" t="str">
        <f>VLOOKUP(B335,'Insumos e Serviços'!$A:$F,3,0)</f>
        <v>Composição</v>
      </c>
      <c r="B335" s="116" t="s">
        <v>200</v>
      </c>
      <c r="C335" s="116" t="str">
        <f>VLOOKUP(B335,'Insumos e Serviços'!$A:$F,2,0)</f>
        <v>SINAPI</v>
      </c>
      <c r="D335" s="117" t="str">
        <f>VLOOKUP(B335,'Insumos e Serviços'!$A:$F,4,0)</f>
        <v>SERVENTE COM ENCARGOS COMPLEMENTARES</v>
      </c>
      <c r="E335" s="116" t="str">
        <f>VLOOKUP(B335,'Insumos e Serviços'!$A:$F,5,0)</f>
        <v>H</v>
      </c>
      <c r="F335" s="125">
        <v>0.6517</v>
      </c>
      <c r="G335" s="118">
        <f>VLOOKUP(B335,'Insumos e Serviços'!$A:$F,6,0)</f>
        <v>18.65</v>
      </c>
      <c r="H335" s="118">
        <f t="shared" si="13"/>
        <v>12.15</v>
      </c>
    </row>
    <row r="336" spans="1:8" ht="22.5">
      <c r="A336" s="115" t="str">
        <f>VLOOKUP(B336,'Insumos e Serviços'!$A:$F,3,0)</f>
        <v>Insumo</v>
      </c>
      <c r="B336" s="116" t="s">
        <v>1128</v>
      </c>
      <c r="C336" s="116" t="str">
        <f>VLOOKUP(B336,'Insumos e Serviços'!$A:$F,2,0)</f>
        <v>SINAPI</v>
      </c>
      <c r="D336" s="117" t="str">
        <f>VLOOKUP(B336,'Insumos e Serviços'!$A:$F,4,0)</f>
        <v>PARAFUSO NIQUELADO 3 1/2" COM ACABAMENTO CROMADO PARA FIXAR PECA SANITARIA, INCLUI PORCA CEGA, ARRUELA E BUCHA DE NYLON TAMANHO S-8</v>
      </c>
      <c r="E336" s="116" t="str">
        <f>VLOOKUP(B336,'Insumos e Serviços'!$A:$F,5,0)</f>
        <v>UN</v>
      </c>
      <c r="F336" s="125">
        <v>6</v>
      </c>
      <c r="G336" s="118">
        <f>VLOOKUP(B336,'Insumos e Serviços'!$A:$F,6,0)</f>
        <v>17.25</v>
      </c>
      <c r="H336" s="118">
        <f t="shared" si="13"/>
        <v>103.5</v>
      </c>
    </row>
    <row r="337" spans="1:8" ht="12.75">
      <c r="A337" s="115" t="str">
        <f>VLOOKUP(B337,'Insumos e Serviços'!$A:$F,3,0)</f>
        <v>Insumo</v>
      </c>
      <c r="B337" s="116" t="s">
        <v>1116</v>
      </c>
      <c r="C337" s="116" t="str">
        <f>VLOOKUP(B337,'Insumos e Serviços'!$A:$F,2,0)</f>
        <v>SINAPI</v>
      </c>
      <c r="D337" s="117" t="str">
        <f>VLOOKUP(B337,'Insumos e Serviços'!$A:$F,4,0)</f>
        <v>REJUNTE EPOXI, QUALQUER COR</v>
      </c>
      <c r="E337" s="116" t="str">
        <f>VLOOKUP(B337,'Insumos e Serviços'!$A:$F,5,0)</f>
        <v>KG</v>
      </c>
      <c r="F337" s="125">
        <v>0.0866</v>
      </c>
      <c r="G337" s="118">
        <f>VLOOKUP(B337,'Insumos e Serviços'!$A:$F,6,0)</f>
        <v>61.83</v>
      </c>
      <c r="H337" s="118">
        <f t="shared" si="13"/>
        <v>5.35</v>
      </c>
    </row>
    <row r="338" spans="1:8" ht="12.75">
      <c r="A338" s="115" t="str">
        <f>VLOOKUP(B338,'Insumos e Serviços'!$A:$F,3,0)</f>
        <v>Insumo</v>
      </c>
      <c r="B338" s="116" t="s">
        <v>461</v>
      </c>
      <c r="C338" s="116" t="str">
        <f>VLOOKUP(B338,'Insumos e Serviços'!$A:$F,2,0)</f>
        <v>Próprio</v>
      </c>
      <c r="D338" s="117" t="str">
        <f>VLOOKUP(B338,'Insumos e Serviços'!$A:$F,4,0)</f>
        <v>Lavatório, marca Deca, Modelo Vogue Plus, código L.51.17, cor branco</v>
      </c>
      <c r="E338" s="116" t="str">
        <f>VLOOKUP(B338,'Insumos e Serviços'!$A:$F,5,0)</f>
        <v>un</v>
      </c>
      <c r="F338" s="125">
        <v>1</v>
      </c>
      <c r="G338" s="118">
        <f>VLOOKUP(B338,'Insumos e Serviços'!$A:$F,6,0)</f>
        <v>389.9</v>
      </c>
      <c r="H338" s="118">
        <f t="shared" si="13"/>
        <v>389.9</v>
      </c>
    </row>
    <row r="339" spans="1:8" ht="13.5" thickBot="1">
      <c r="A339" s="115" t="str">
        <f>VLOOKUP(B339,'Insumos e Serviços'!$A:$F,3,0)</f>
        <v>Insumo</v>
      </c>
      <c r="B339" s="116" t="s">
        <v>463</v>
      </c>
      <c r="C339" s="116" t="str">
        <f>VLOOKUP(B339,'Insumos e Serviços'!$A:$F,2,0)</f>
        <v>Próprio</v>
      </c>
      <c r="D339" s="117" t="str">
        <f>VLOOKUP(B339,'Insumos e Serviços'!$A:$F,4,0)</f>
        <v>Coluna suspensa para lavatório, cor branco, código CS.1.17</v>
      </c>
      <c r="E339" s="116" t="str">
        <f>VLOOKUP(B339,'Insumos e Serviços'!$A:$F,5,0)</f>
        <v>un</v>
      </c>
      <c r="F339" s="125">
        <v>1</v>
      </c>
      <c r="G339" s="118">
        <f>VLOOKUP(B339,'Insumos e Serviços'!$A:$F,6,0)</f>
        <v>221.83</v>
      </c>
      <c r="H339" s="118">
        <f t="shared" si="13"/>
        <v>221.83</v>
      </c>
    </row>
    <row r="340" spans="1:8" ht="13.5" thickTop="1">
      <c r="A340" s="119"/>
      <c r="B340" s="119"/>
      <c r="C340" s="119"/>
      <c r="D340" s="119"/>
      <c r="E340" s="119"/>
      <c r="F340" s="126"/>
      <c r="G340" s="119"/>
      <c r="H340" s="119"/>
    </row>
    <row r="341" spans="1:8" ht="22.5">
      <c r="A341" s="111" t="s">
        <v>803</v>
      </c>
      <c r="B341" s="112" t="str">
        <f>VLOOKUP(A341,'Orçamento Sintético'!$A:$H,2,0)</f>
        <v> MPDFT0260 </v>
      </c>
      <c r="C341" s="112" t="str">
        <f>VLOOKUP(A341,'Orçamento Sintético'!$A:$H,3,0)</f>
        <v>Próprio</v>
      </c>
      <c r="D341" s="113" t="str">
        <f>VLOOKUP(A341,'Orçamento Sintético'!$A:$H,4,0)</f>
        <v>Conjunto de metais para lavatório com coluna suspensa (PCD), inclusive torneira de mesa com alavanca</v>
      </c>
      <c r="E341" s="112" t="str">
        <f>VLOOKUP(A341,'Orçamento Sintético'!$A:$H,5,0)</f>
        <v>cj</v>
      </c>
      <c r="F341" s="124"/>
      <c r="G341" s="114"/>
      <c r="H341" s="114">
        <f>SUM(H342:H348)</f>
        <v>1112.06</v>
      </c>
    </row>
    <row r="342" spans="1:8" ht="22.5">
      <c r="A342" s="115" t="str">
        <f>VLOOKUP(B342,'Insumos e Serviços'!$A:$F,3,0)</f>
        <v>Composição</v>
      </c>
      <c r="B342" s="116" t="s">
        <v>204</v>
      </c>
      <c r="C342" s="116" t="str">
        <f>VLOOKUP(B342,'Insumos e Serviços'!$A:$F,2,0)</f>
        <v>SINAPI</v>
      </c>
      <c r="D342" s="117" t="str">
        <f>VLOOKUP(B342,'Insumos e Serviços'!$A:$F,4,0)</f>
        <v>AUXILIAR DE ENCANADOR OU BOMBEIRO HIDRÁULICO COM ENCARGOS COMPLEMENTARES</v>
      </c>
      <c r="E342" s="116" t="str">
        <f>VLOOKUP(B342,'Insumos e Serviços'!$A:$F,5,0)</f>
        <v>H</v>
      </c>
      <c r="F342" s="125">
        <v>0.2416</v>
      </c>
      <c r="G342" s="118">
        <f>VLOOKUP(B342,'Insumos e Serviços'!$A:$F,6,0)</f>
        <v>19.31</v>
      </c>
      <c r="H342" s="118">
        <f aca="true" t="shared" si="14" ref="H342:H348">TRUNC(F342*G342,2)</f>
        <v>4.66</v>
      </c>
    </row>
    <row r="343" spans="1:8" ht="12.75">
      <c r="A343" s="115" t="str">
        <f>VLOOKUP(B343,'Insumos e Serviços'!$A:$F,3,0)</f>
        <v>Composição</v>
      </c>
      <c r="B343" s="116" t="s">
        <v>205</v>
      </c>
      <c r="C343" s="116" t="str">
        <f>VLOOKUP(B343,'Insumos e Serviços'!$A:$F,2,0)</f>
        <v>SINAPI</v>
      </c>
      <c r="D343" s="117" t="str">
        <f>VLOOKUP(B343,'Insumos e Serviços'!$A:$F,4,0)</f>
        <v>ENCANADOR OU BOMBEIRO HIDRÁULICO COM ENCARGOS COMPLEMENTARES</v>
      </c>
      <c r="E343" s="116" t="str">
        <f>VLOOKUP(B343,'Insumos e Serviços'!$A:$F,5,0)</f>
        <v>H</v>
      </c>
      <c r="F343" s="125">
        <v>0.7666</v>
      </c>
      <c r="G343" s="118">
        <f>VLOOKUP(B343,'Insumos e Serviços'!$A:$F,6,0)</f>
        <v>24.48</v>
      </c>
      <c r="H343" s="118">
        <f t="shared" si="14"/>
        <v>18.76</v>
      </c>
    </row>
    <row r="344" spans="1:8" ht="12.75">
      <c r="A344" s="115" t="str">
        <f>VLOOKUP(B344,'Insumos e Serviços'!$A:$F,3,0)</f>
        <v>Insumo</v>
      </c>
      <c r="B344" s="116" t="s">
        <v>411</v>
      </c>
      <c r="C344" s="116" t="str">
        <f>VLOOKUP(B344,'Insumos e Serviços'!$A:$F,2,0)</f>
        <v>Próprio</v>
      </c>
      <c r="D344" s="117" t="str">
        <f>VLOOKUP(B344,'Insumos e Serviços'!$A:$F,4,0)</f>
        <v>Válvula de escoamento, cromada, cod.1601C, fab. Deca</v>
      </c>
      <c r="E344" s="116" t="str">
        <f>VLOOKUP(B344,'Insumos e Serviços'!$A:$F,5,0)</f>
        <v>un</v>
      </c>
      <c r="F344" s="125">
        <v>1</v>
      </c>
      <c r="G344" s="118">
        <f>VLOOKUP(B344,'Insumos e Serviços'!$A:$F,6,0)</f>
        <v>160.39</v>
      </c>
      <c r="H344" s="118">
        <f t="shared" si="14"/>
        <v>160.39</v>
      </c>
    </row>
    <row r="345" spans="1:8" ht="12.75">
      <c r="A345" s="115" t="str">
        <f>VLOOKUP(B345,'Insumos e Serviços'!$A:$F,3,0)</f>
        <v>Insumo</v>
      </c>
      <c r="B345" s="116" t="s">
        <v>413</v>
      </c>
      <c r="C345" s="116" t="str">
        <f>VLOOKUP(B345,'Insumos e Serviços'!$A:$F,2,0)</f>
        <v>Próprio</v>
      </c>
      <c r="D345" s="117" t="str">
        <f>VLOOKUP(B345,'Insumos e Serviços'!$A:$F,4,0)</f>
        <v>Ligação flexível de malha de aço 50cm, ref. 4607C 050, fab. Deca</v>
      </c>
      <c r="E345" s="116" t="str">
        <f>VLOOKUP(B345,'Insumos e Serviços'!$A:$F,5,0)</f>
        <v>un</v>
      </c>
      <c r="F345" s="125">
        <v>1</v>
      </c>
      <c r="G345" s="118">
        <f>VLOOKUP(B345,'Insumos e Serviços'!$A:$F,6,0)</f>
        <v>59.81</v>
      </c>
      <c r="H345" s="118">
        <f t="shared" si="14"/>
        <v>59.81</v>
      </c>
    </row>
    <row r="346" spans="1:8" ht="12.75">
      <c r="A346" s="115" t="str">
        <f>VLOOKUP(B346,'Insumos e Serviços'!$A:$F,3,0)</f>
        <v>Insumo</v>
      </c>
      <c r="B346" s="116" t="s">
        <v>1124</v>
      </c>
      <c r="C346" s="116" t="str">
        <f>VLOOKUP(B346,'Insumos e Serviços'!$A:$F,2,0)</f>
        <v>SINAPI</v>
      </c>
      <c r="D346" s="117" t="str">
        <f>VLOOKUP(B346,'Insumos e Serviços'!$A:$F,4,0)</f>
        <v>FITA VEDA ROSCA EM ROLOS DE 18 MM X 10 M (L X C)</v>
      </c>
      <c r="E346" s="116" t="str">
        <f>VLOOKUP(B346,'Insumos e Serviços'!$A:$F,5,0)</f>
        <v>UN</v>
      </c>
      <c r="F346" s="125">
        <v>0.1232</v>
      </c>
      <c r="G346" s="118">
        <f>VLOOKUP(B346,'Insumos e Serviços'!$A:$F,6,0)</f>
        <v>3.71</v>
      </c>
      <c r="H346" s="118">
        <f t="shared" si="14"/>
        <v>0.45</v>
      </c>
    </row>
    <row r="347" spans="1:8" ht="22.5">
      <c r="A347" s="115" t="str">
        <f>VLOOKUP(B347,'Insumos e Serviços'!$A:$F,3,0)</f>
        <v>Insumo</v>
      </c>
      <c r="B347" s="116" t="s">
        <v>417</v>
      </c>
      <c r="C347" s="116" t="str">
        <f>VLOOKUP(B347,'Insumos e Serviços'!$A:$F,2,0)</f>
        <v>Próprio</v>
      </c>
      <c r="D347" s="117" t="str">
        <f>VLOOKUP(B347,'Insumos e Serviços'!$A:$F,4,0)</f>
        <v>Torneira para lavatório de mesa com alavanca, cromada, fechamento automático, Linha Pressmatic Benefit, Código 00490706, fab. Docol</v>
      </c>
      <c r="E347" s="116" t="str">
        <f>VLOOKUP(B347,'Insumos e Serviços'!$A:$F,5,0)</f>
        <v>un</v>
      </c>
      <c r="F347" s="125">
        <v>1</v>
      </c>
      <c r="G347" s="118">
        <f>VLOOKUP(B347,'Insumos e Serviços'!$A:$F,6,0)</f>
        <v>840.19</v>
      </c>
      <c r="H347" s="118">
        <f t="shared" si="14"/>
        <v>840.19</v>
      </c>
    </row>
    <row r="348" spans="1:8" ht="13.5" thickBot="1">
      <c r="A348" s="115" t="str">
        <f>VLOOKUP(B348,'Insumos e Serviços'!$A:$F,3,0)</f>
        <v>Insumo</v>
      </c>
      <c r="B348" s="116" t="s">
        <v>493</v>
      </c>
      <c r="C348" s="116" t="str">
        <f>VLOOKUP(B348,'Insumos e Serviços'!$A:$F,2,0)</f>
        <v>Próprio</v>
      </c>
      <c r="D348" s="117" t="str">
        <f>VLOOKUP(B348,'Insumos e Serviços'!$A:$F,4,0)</f>
        <v>Sifão com tubo extensivo cromado 1x1/2", fabricação Astra</v>
      </c>
      <c r="E348" s="116" t="str">
        <f>VLOOKUP(B348,'Insumos e Serviços'!$A:$F,5,0)</f>
        <v>un</v>
      </c>
      <c r="F348" s="125">
        <v>1</v>
      </c>
      <c r="G348" s="118">
        <f>VLOOKUP(B348,'Insumos e Serviços'!$A:$F,6,0)</f>
        <v>27.8</v>
      </c>
      <c r="H348" s="118">
        <f t="shared" si="14"/>
        <v>27.8</v>
      </c>
    </row>
    <row r="349" spans="1:8" ht="13.5" thickTop="1">
      <c r="A349" s="119"/>
      <c r="B349" s="119"/>
      <c r="C349" s="119"/>
      <c r="D349" s="119"/>
      <c r="E349" s="119"/>
      <c r="F349" s="126"/>
      <c r="G349" s="119"/>
      <c r="H349" s="119"/>
    </row>
    <row r="350" spans="1:8" ht="33.75">
      <c r="A350" s="111" t="s">
        <v>806</v>
      </c>
      <c r="B350" s="112" t="str">
        <f>VLOOKUP(A350,'Orçamento Sintético'!$A:$H,2,0)</f>
        <v> MPDFT0138 </v>
      </c>
      <c r="C350" s="112" t="str">
        <f>VLOOKUP(A350,'Orçamento Sintético'!$A:$H,3,0)</f>
        <v>Próprio</v>
      </c>
      <c r="D350" s="113" t="str">
        <f>VLOOKUP(A350,'Orçamento Sintético'!$A:$H,4,0)</f>
        <v>Copia da SINAPI (86914) - Torneira de parede uso geral com arejador, metálica com acabamento cromado, Linha Standard, cód. 1154.C39, fab. Deca</v>
      </c>
      <c r="E350" s="112" t="str">
        <f>VLOOKUP(A350,'Orçamento Sintético'!$A:$H,5,0)</f>
        <v>UN</v>
      </c>
      <c r="F350" s="124"/>
      <c r="G350" s="114"/>
      <c r="H350" s="114">
        <f>SUM(H351:H354)</f>
        <v>136.19</v>
      </c>
    </row>
    <row r="351" spans="1:8" ht="12.75">
      <c r="A351" s="115" t="str">
        <f>VLOOKUP(B351,'Insumos e Serviços'!$A:$F,3,0)</f>
        <v>Composição</v>
      </c>
      <c r="B351" s="116" t="s">
        <v>205</v>
      </c>
      <c r="C351" s="116" t="str">
        <f>VLOOKUP(B351,'Insumos e Serviços'!$A:$F,2,0)</f>
        <v>SINAPI</v>
      </c>
      <c r="D351" s="117" t="str">
        <f>VLOOKUP(B351,'Insumos e Serviços'!$A:$F,4,0)</f>
        <v>ENCANADOR OU BOMBEIRO HIDRÁULICO COM ENCARGOS COMPLEMENTARES</v>
      </c>
      <c r="E351" s="116" t="str">
        <f>VLOOKUP(B351,'Insumos e Serviços'!$A:$F,5,0)</f>
        <v>H</v>
      </c>
      <c r="F351" s="125">
        <v>0.1525</v>
      </c>
      <c r="G351" s="118">
        <f>VLOOKUP(B351,'Insumos e Serviços'!$A:$F,6,0)</f>
        <v>24.48</v>
      </c>
      <c r="H351" s="118">
        <f>TRUNC(F351*G351,2)</f>
        <v>3.73</v>
      </c>
    </row>
    <row r="352" spans="1:8" ht="12.75">
      <c r="A352" s="115" t="str">
        <f>VLOOKUP(B352,'Insumos e Serviços'!$A:$F,3,0)</f>
        <v>Composição</v>
      </c>
      <c r="B352" s="116" t="s">
        <v>200</v>
      </c>
      <c r="C352" s="116" t="str">
        <f>VLOOKUP(B352,'Insumos e Serviços'!$A:$F,2,0)</f>
        <v>SINAPI</v>
      </c>
      <c r="D352" s="117" t="str">
        <f>VLOOKUP(B352,'Insumos e Serviços'!$A:$F,4,0)</f>
        <v>SERVENTE COM ENCARGOS COMPLEMENTARES</v>
      </c>
      <c r="E352" s="116" t="str">
        <f>VLOOKUP(B352,'Insumos e Serviços'!$A:$F,5,0)</f>
        <v>H</v>
      </c>
      <c r="F352" s="125">
        <v>0.0481</v>
      </c>
      <c r="G352" s="118">
        <f>VLOOKUP(B352,'Insumos e Serviços'!$A:$F,6,0)</f>
        <v>18.65</v>
      </c>
      <c r="H352" s="118">
        <f>TRUNC(F352*G352,2)</f>
        <v>0.89</v>
      </c>
    </row>
    <row r="353" spans="1:8" ht="12.75">
      <c r="A353" s="115" t="str">
        <f>VLOOKUP(B353,'Insumos e Serviços'!$A:$F,3,0)</f>
        <v>Insumo</v>
      </c>
      <c r="B353" s="116" t="s">
        <v>1124</v>
      </c>
      <c r="C353" s="116" t="str">
        <f>VLOOKUP(B353,'Insumos e Serviços'!$A:$F,2,0)</f>
        <v>SINAPI</v>
      </c>
      <c r="D353" s="117" t="str">
        <f>VLOOKUP(B353,'Insumos e Serviços'!$A:$F,4,0)</f>
        <v>FITA VEDA ROSCA EM ROLOS DE 18 MM X 10 M (L X C)</v>
      </c>
      <c r="E353" s="116" t="str">
        <f>VLOOKUP(B353,'Insumos e Serviços'!$A:$F,5,0)</f>
        <v>UN</v>
      </c>
      <c r="F353" s="125">
        <v>0.021</v>
      </c>
      <c r="G353" s="118">
        <f>VLOOKUP(B353,'Insumos e Serviços'!$A:$F,6,0)</f>
        <v>3.71</v>
      </c>
      <c r="H353" s="118">
        <f>TRUNC(F353*G353,2)</f>
        <v>0.07</v>
      </c>
    </row>
    <row r="354" spans="1:8" ht="23.25" thickBot="1">
      <c r="A354" s="115" t="str">
        <f>VLOOKUP(B354,'Insumos e Serviços'!$A:$F,3,0)</f>
        <v>Insumo</v>
      </c>
      <c r="B354" s="116" t="s">
        <v>431</v>
      </c>
      <c r="C354" s="116" t="str">
        <f>VLOOKUP(B354,'Insumos e Serviços'!$A:$F,2,0)</f>
        <v>Próprio</v>
      </c>
      <c r="D354" s="117" t="str">
        <f>VLOOKUP(B354,'Insumos e Serviços'!$A:$F,4,0)</f>
        <v>Torneira de parede uso geral com arejador, metálica com acabamento cromado, fab. Deca, Linha Standard, código 1154.C39</v>
      </c>
      <c r="E354" s="116" t="str">
        <f>VLOOKUP(B354,'Insumos e Serviços'!$A:$F,5,0)</f>
        <v>un</v>
      </c>
      <c r="F354" s="125">
        <v>1</v>
      </c>
      <c r="G354" s="118">
        <f>VLOOKUP(B354,'Insumos e Serviços'!$A:$F,6,0)</f>
        <v>131.5</v>
      </c>
      <c r="H354" s="118">
        <f>TRUNC(F354*G354,2)</f>
        <v>131.5</v>
      </c>
    </row>
    <row r="355" spans="1:8" ht="13.5" thickTop="1">
      <c r="A355" s="119"/>
      <c r="B355" s="119"/>
      <c r="C355" s="119"/>
      <c r="D355" s="119"/>
      <c r="E355" s="119"/>
      <c r="F355" s="126"/>
      <c r="G355" s="119"/>
      <c r="H355" s="119"/>
    </row>
    <row r="356" spans="1:8" ht="33.75">
      <c r="A356" s="111" t="s">
        <v>811</v>
      </c>
      <c r="B356" s="112" t="str">
        <f>VLOOKUP(A356,'Orçamento Sintético'!$A:$H,2,0)</f>
        <v> MPDFT0276 </v>
      </c>
      <c r="C356" s="112" t="str">
        <f>VLOOKUP(A356,'Orçamento Sintético'!$A:$H,3,0)</f>
        <v>Próprio</v>
      </c>
      <c r="D356" s="113" t="str">
        <f>VLOOKUP(A356,'Orçamento Sintético'!$A:$H,4,0)</f>
        <v>Copia da SINAPI (100870) - Barra de apoio tubular reta 40cm, Ø31,75mm e=2mm, em alumínio, acabamento com pintura epóxi branca, Linha Acessibilidade, fab. Leve Vida</v>
      </c>
      <c r="E356" s="112" t="str">
        <f>VLOOKUP(A356,'Orçamento Sintético'!$A:$H,5,0)</f>
        <v>UN</v>
      </c>
      <c r="F356" s="124"/>
      <c r="G356" s="114"/>
      <c r="H356" s="114">
        <f>SUM(H357:H359)</f>
        <v>114.03</v>
      </c>
    </row>
    <row r="357" spans="1:8" ht="12.75">
      <c r="A357" s="115" t="str">
        <f>VLOOKUP(B357,'Insumos e Serviços'!$A:$F,3,0)</f>
        <v>Composição</v>
      </c>
      <c r="B357" s="116" t="s">
        <v>210</v>
      </c>
      <c r="C357" s="116" t="str">
        <f>VLOOKUP(B357,'Insumos e Serviços'!$A:$F,2,0)</f>
        <v>SINAPI</v>
      </c>
      <c r="D357" s="117" t="str">
        <f>VLOOKUP(B357,'Insumos e Serviços'!$A:$F,4,0)</f>
        <v>PEDREIRO COM ENCARGOS COMPLEMENTARES</v>
      </c>
      <c r="E357" s="116" t="str">
        <f>VLOOKUP(B357,'Insumos e Serviços'!$A:$F,5,0)</f>
        <v>H</v>
      </c>
      <c r="F357" s="125">
        <v>0.9485</v>
      </c>
      <c r="G357" s="118">
        <f>VLOOKUP(B357,'Insumos e Serviços'!$A:$F,6,0)</f>
        <v>25.09</v>
      </c>
      <c r="H357" s="118">
        <f>TRUNC(F357*G357,2)</f>
        <v>23.79</v>
      </c>
    </row>
    <row r="358" spans="1:8" ht="12.75">
      <c r="A358" s="115" t="str">
        <f>VLOOKUP(B358,'Insumos e Serviços'!$A:$F,3,0)</f>
        <v>Composição</v>
      </c>
      <c r="B358" s="116" t="s">
        <v>200</v>
      </c>
      <c r="C358" s="116" t="str">
        <f>VLOOKUP(B358,'Insumos e Serviços'!$A:$F,2,0)</f>
        <v>SINAPI</v>
      </c>
      <c r="D358" s="117" t="str">
        <f>VLOOKUP(B358,'Insumos e Serviços'!$A:$F,4,0)</f>
        <v>SERVENTE COM ENCARGOS COMPLEMENTARES</v>
      </c>
      <c r="E358" s="116" t="str">
        <f>VLOOKUP(B358,'Insumos e Serviços'!$A:$F,5,0)</f>
        <v>H</v>
      </c>
      <c r="F358" s="125">
        <v>0.2988</v>
      </c>
      <c r="G358" s="118">
        <f>VLOOKUP(B358,'Insumos e Serviços'!$A:$F,6,0)</f>
        <v>18.65</v>
      </c>
      <c r="H358" s="118">
        <f>TRUNC(F358*G358,2)</f>
        <v>5.57</v>
      </c>
    </row>
    <row r="359" spans="1:8" ht="23.25" thickBot="1">
      <c r="A359" s="115" t="str">
        <f>VLOOKUP(B359,'Insumos e Serviços'!$A:$F,3,0)</f>
        <v>Insumo</v>
      </c>
      <c r="B359" s="116" t="s">
        <v>446</v>
      </c>
      <c r="C359" s="116" t="str">
        <f>VLOOKUP(B359,'Insumos e Serviços'!$A:$F,2,0)</f>
        <v>Próprio</v>
      </c>
      <c r="D359" s="117" t="str">
        <f>VLOOKUP(B359,'Insumos e Serviços'!$A:$F,4,0)</f>
        <v>Barra de apoio reta 40cm, em tubo de alumínio e=2mm, Ø31,75mm, tratamento de superfície e pintura epóxi, na cor branca, fab. Leve Vida</v>
      </c>
      <c r="E359" s="116" t="str">
        <f>VLOOKUP(B359,'Insumos e Serviços'!$A:$F,5,0)</f>
        <v>un</v>
      </c>
      <c r="F359" s="125">
        <v>1</v>
      </c>
      <c r="G359" s="118">
        <f>VLOOKUP(B359,'Insumos e Serviços'!$A:$F,6,0)</f>
        <v>84.67</v>
      </c>
      <c r="H359" s="118">
        <f>TRUNC(F359*G359,2)</f>
        <v>84.67</v>
      </c>
    </row>
    <row r="360" spans="1:8" ht="13.5" thickTop="1">
      <c r="A360" s="119"/>
      <c r="B360" s="119"/>
      <c r="C360" s="119"/>
      <c r="D360" s="119"/>
      <c r="E360" s="119"/>
      <c r="F360" s="126"/>
      <c r="G360" s="119"/>
      <c r="H360" s="119"/>
    </row>
    <row r="361" spans="1:8" ht="33.75">
      <c r="A361" s="111" t="s">
        <v>814</v>
      </c>
      <c r="B361" s="112" t="str">
        <f>VLOOKUP(A361,'Orçamento Sintético'!$A:$H,2,0)</f>
        <v> MPDFT0277 </v>
      </c>
      <c r="C361" s="112" t="str">
        <f>VLOOKUP(A361,'Orçamento Sintético'!$A:$H,3,0)</f>
        <v>Próprio</v>
      </c>
      <c r="D361" s="113" t="str">
        <f>VLOOKUP(A361,'Orçamento Sintético'!$A:$H,4,0)</f>
        <v>Copia da SINAPI (100870) - Barra de apoio tubular curva de 30cm para lavatório, Ø31,75mm e=2mm, em alumínio, acabamento com pintura epóxi branca, Linha Acessibilidade, fab. Leve Vida</v>
      </c>
      <c r="E361" s="112" t="str">
        <f>VLOOKUP(A361,'Orçamento Sintético'!$A:$H,5,0)</f>
        <v>UN</v>
      </c>
      <c r="F361" s="124"/>
      <c r="G361" s="114"/>
      <c r="H361" s="114">
        <f>SUM(H362:H364)</f>
        <v>112.94</v>
      </c>
    </row>
    <row r="362" spans="1:8" ht="12.75">
      <c r="A362" s="115" t="str">
        <f>VLOOKUP(B362,'Insumos e Serviços'!$A:$F,3,0)</f>
        <v>Composição</v>
      </c>
      <c r="B362" s="116" t="s">
        <v>210</v>
      </c>
      <c r="C362" s="116" t="str">
        <f>VLOOKUP(B362,'Insumos e Serviços'!$A:$F,2,0)</f>
        <v>SINAPI</v>
      </c>
      <c r="D362" s="117" t="str">
        <f>VLOOKUP(B362,'Insumos e Serviços'!$A:$F,4,0)</f>
        <v>PEDREIRO COM ENCARGOS COMPLEMENTARES</v>
      </c>
      <c r="E362" s="116" t="str">
        <f>VLOOKUP(B362,'Insumos e Serviços'!$A:$F,5,0)</f>
        <v>H</v>
      </c>
      <c r="F362" s="125">
        <v>0.9485</v>
      </c>
      <c r="G362" s="118">
        <f>VLOOKUP(B362,'Insumos e Serviços'!$A:$F,6,0)</f>
        <v>25.09</v>
      </c>
      <c r="H362" s="118">
        <f>TRUNC(F362*G362,2)</f>
        <v>23.79</v>
      </c>
    </row>
    <row r="363" spans="1:8" ht="12.75">
      <c r="A363" s="115" t="str">
        <f>VLOOKUP(B363,'Insumos e Serviços'!$A:$F,3,0)</f>
        <v>Composição</v>
      </c>
      <c r="B363" s="116" t="s">
        <v>200</v>
      </c>
      <c r="C363" s="116" t="str">
        <f>VLOOKUP(B363,'Insumos e Serviços'!$A:$F,2,0)</f>
        <v>SINAPI</v>
      </c>
      <c r="D363" s="117" t="str">
        <f>VLOOKUP(B363,'Insumos e Serviços'!$A:$F,4,0)</f>
        <v>SERVENTE COM ENCARGOS COMPLEMENTARES</v>
      </c>
      <c r="E363" s="116" t="str">
        <f>VLOOKUP(B363,'Insumos e Serviços'!$A:$F,5,0)</f>
        <v>H</v>
      </c>
      <c r="F363" s="125">
        <v>0.2988</v>
      </c>
      <c r="G363" s="118">
        <f>VLOOKUP(B363,'Insumos e Serviços'!$A:$F,6,0)</f>
        <v>18.65</v>
      </c>
      <c r="H363" s="118">
        <f>TRUNC(F363*G363,2)</f>
        <v>5.57</v>
      </c>
    </row>
    <row r="364" spans="1:8" ht="23.25" thickBot="1">
      <c r="A364" s="115" t="str">
        <f>VLOOKUP(B364,'Insumos e Serviços'!$A:$F,3,0)</f>
        <v>Insumo</v>
      </c>
      <c r="B364" s="116" t="s">
        <v>444</v>
      </c>
      <c r="C364" s="116" t="str">
        <f>VLOOKUP(B364,'Insumos e Serviços'!$A:$F,2,0)</f>
        <v>Próprio</v>
      </c>
      <c r="D364" s="117" t="str">
        <f>VLOOKUP(B364,'Insumos e Serviços'!$A:$F,4,0)</f>
        <v>Barra de apoio curva lateral para lavatório 30cm, em tubo de alumínio e=2mm, Ø31,75mm, tratamento de superfície e pintura epóxi, na cor branca, fab. Leve Vida</v>
      </c>
      <c r="E364" s="116" t="str">
        <f>VLOOKUP(B364,'Insumos e Serviços'!$A:$F,5,0)</f>
        <v>un</v>
      </c>
      <c r="F364" s="125">
        <v>1</v>
      </c>
      <c r="G364" s="118">
        <f>VLOOKUP(B364,'Insumos e Serviços'!$A:$F,6,0)</f>
        <v>83.58</v>
      </c>
      <c r="H364" s="118">
        <f>TRUNC(F364*G364,2)</f>
        <v>83.58</v>
      </c>
    </row>
    <row r="365" spans="1:8" ht="13.5" thickTop="1">
      <c r="A365" s="119"/>
      <c r="B365" s="119"/>
      <c r="C365" s="119"/>
      <c r="D365" s="119"/>
      <c r="E365" s="119"/>
      <c r="F365" s="126"/>
      <c r="G365" s="119"/>
      <c r="H365" s="119"/>
    </row>
    <row r="366" spans="1:8" ht="33.75">
      <c r="A366" s="111" t="s">
        <v>820</v>
      </c>
      <c r="B366" s="112" t="str">
        <f>VLOOKUP(A366,'Orçamento Sintético'!$A:$H,2,0)</f>
        <v> MPDFT0904 </v>
      </c>
      <c r="C366" s="112" t="str">
        <f>VLOOKUP(A366,'Orçamento Sintético'!$A:$H,3,0)</f>
        <v>Próprio</v>
      </c>
      <c r="D366" s="113" t="str">
        <f>VLOOKUP(A366,'Orçamento Sintético'!$A:$H,4,0)</f>
        <v>Cópia da CPOS (49.11.140) - Ralo linear em alumínio com grelha, dimensões 46x900mm, com saída central vertical, anodizado fosco, fab. Sekabox / Sekapiso</v>
      </c>
      <c r="E366" s="112" t="str">
        <f>VLOOKUP(A366,'Orçamento Sintético'!$A:$H,5,0)</f>
        <v>un</v>
      </c>
      <c r="F366" s="124"/>
      <c r="G366" s="114"/>
      <c r="H366" s="114">
        <f>SUM(H367:H369)</f>
        <v>269.34000000000003</v>
      </c>
    </row>
    <row r="367" spans="1:8" ht="12.75">
      <c r="A367" s="115" t="str">
        <f>VLOOKUP(B367,'Insumos e Serviços'!$A:$F,3,0)</f>
        <v>Composição</v>
      </c>
      <c r="B367" s="116" t="s">
        <v>210</v>
      </c>
      <c r="C367" s="116" t="str">
        <f>VLOOKUP(B367,'Insumos e Serviços'!$A:$F,2,0)</f>
        <v>SINAPI</v>
      </c>
      <c r="D367" s="117" t="str">
        <f>VLOOKUP(B367,'Insumos e Serviços'!$A:$F,4,0)</f>
        <v>PEDREIRO COM ENCARGOS COMPLEMENTARES</v>
      </c>
      <c r="E367" s="116" t="str">
        <f>VLOOKUP(B367,'Insumos e Serviços'!$A:$F,5,0)</f>
        <v>H</v>
      </c>
      <c r="F367" s="125">
        <v>0.25</v>
      </c>
      <c r="G367" s="118">
        <f>VLOOKUP(B367,'Insumos e Serviços'!$A:$F,6,0)</f>
        <v>25.09</v>
      </c>
      <c r="H367" s="118">
        <f>TRUNC(F367*G367,2)</f>
        <v>6.27</v>
      </c>
    </row>
    <row r="368" spans="1:8" ht="12.75">
      <c r="A368" s="115" t="str">
        <f>VLOOKUP(B368,'Insumos e Serviços'!$A:$F,3,0)</f>
        <v>Composição</v>
      </c>
      <c r="B368" s="116" t="s">
        <v>200</v>
      </c>
      <c r="C368" s="116" t="str">
        <f>VLOOKUP(B368,'Insumos e Serviços'!$A:$F,2,0)</f>
        <v>SINAPI</v>
      </c>
      <c r="D368" s="117" t="str">
        <f>VLOOKUP(B368,'Insumos e Serviços'!$A:$F,4,0)</f>
        <v>SERVENTE COM ENCARGOS COMPLEMENTARES</v>
      </c>
      <c r="E368" s="116" t="str">
        <f>VLOOKUP(B368,'Insumos e Serviços'!$A:$F,5,0)</f>
        <v>H</v>
      </c>
      <c r="F368" s="125">
        <v>0.25</v>
      </c>
      <c r="G368" s="118">
        <f>VLOOKUP(B368,'Insumos e Serviços'!$A:$F,6,0)</f>
        <v>18.65</v>
      </c>
      <c r="H368" s="118">
        <f>TRUNC(F368*G368,2)</f>
        <v>4.66</v>
      </c>
    </row>
    <row r="369" spans="1:8" ht="23.25" thickBot="1">
      <c r="A369" s="115" t="str">
        <f>VLOOKUP(B369,'Insumos e Serviços'!$A:$F,3,0)</f>
        <v>Insumo</v>
      </c>
      <c r="B369" s="116" t="s">
        <v>469</v>
      </c>
      <c r="C369" s="116" t="str">
        <f>VLOOKUP(B369,'Insumos e Serviços'!$A:$F,2,0)</f>
        <v>Próprio</v>
      </c>
      <c r="D369" s="117" t="str">
        <f>VLOOKUP(B369,'Insumos e Serviços'!$A:$F,4,0)</f>
        <v>Ralo linear em alumínio com grelha, dimensões 46x900mm, com saída central vertical, anodizado fosco, fab. Sekabox / Sekapiso</v>
      </c>
      <c r="E369" s="116" t="str">
        <f>VLOOKUP(B369,'Insumos e Serviços'!$A:$F,5,0)</f>
        <v>un</v>
      </c>
      <c r="F369" s="125">
        <v>1</v>
      </c>
      <c r="G369" s="118">
        <f>VLOOKUP(B369,'Insumos e Serviços'!$A:$F,6,0)</f>
        <v>258.41</v>
      </c>
      <c r="H369" s="118">
        <f>TRUNC(F369*G369,2)</f>
        <v>258.41</v>
      </c>
    </row>
    <row r="370" spans="1:8" ht="13.5" thickTop="1">
      <c r="A370" s="119"/>
      <c r="B370" s="119"/>
      <c r="C370" s="119"/>
      <c r="D370" s="119"/>
      <c r="E370" s="119"/>
      <c r="F370" s="126"/>
      <c r="G370" s="119"/>
      <c r="H370" s="119"/>
    </row>
    <row r="371" spans="1:8" ht="22.5">
      <c r="A371" s="111" t="s">
        <v>823</v>
      </c>
      <c r="B371" s="112" t="str">
        <f>VLOOKUP(A371,'Orçamento Sintético'!$A:$H,2,0)</f>
        <v> MPDFT0908 </v>
      </c>
      <c r="C371" s="112" t="str">
        <f>VLOOKUP(A371,'Orçamento Sintético'!$A:$H,3,0)</f>
        <v>Próprio</v>
      </c>
      <c r="D371" s="113" t="str">
        <f>VLOOKUP(A371,'Orçamento Sintético'!$A:$H,4,0)</f>
        <v>Copia da SINAPI (86895) - Bancada para lavatório em granito Branco Itaúnas, largura 0,30m, com saia e rodabanca, inclusive mão francesa</v>
      </c>
      <c r="E371" s="112" t="str">
        <f>VLOOKUP(A371,'Orçamento Sintético'!$A:$H,5,0)</f>
        <v>m</v>
      </c>
      <c r="F371" s="124"/>
      <c r="G371" s="114"/>
      <c r="H371" s="114">
        <f>SUM(H372:H380)</f>
        <v>416.07</v>
      </c>
    </row>
    <row r="372" spans="1:8" ht="12.75">
      <c r="A372" s="115" t="str">
        <f>VLOOKUP(B372,'Insumos e Serviços'!$A:$F,3,0)</f>
        <v>Composição</v>
      </c>
      <c r="B372" s="116" t="s">
        <v>232</v>
      </c>
      <c r="C372" s="116" t="str">
        <f>VLOOKUP(B372,'Insumos e Serviços'!$A:$F,2,0)</f>
        <v>SINAPI</v>
      </c>
      <c r="D372" s="117" t="str">
        <f>VLOOKUP(B372,'Insumos e Serviços'!$A:$F,4,0)</f>
        <v>MARMORISTA/GRANITEIRO COM ENCARGOS COMPLEMENTARES</v>
      </c>
      <c r="E372" s="116" t="str">
        <f>VLOOKUP(B372,'Insumos e Serviços'!$A:$F,5,0)</f>
        <v>H</v>
      </c>
      <c r="F372" s="125">
        <v>1.9209</v>
      </c>
      <c r="G372" s="118">
        <f>VLOOKUP(B372,'Insumos e Serviços'!$A:$F,6,0)</f>
        <v>25</v>
      </c>
      <c r="H372" s="118">
        <f aca="true" t="shared" si="15" ref="H372:H380">TRUNC(F372*G372,2)</f>
        <v>48.02</v>
      </c>
    </row>
    <row r="373" spans="1:8" ht="12.75">
      <c r="A373" s="115" t="str">
        <f>VLOOKUP(B373,'Insumos e Serviços'!$A:$F,3,0)</f>
        <v>Composição</v>
      </c>
      <c r="B373" s="116" t="s">
        <v>200</v>
      </c>
      <c r="C373" s="116" t="str">
        <f>VLOOKUP(B373,'Insumos e Serviços'!$A:$F,2,0)</f>
        <v>SINAPI</v>
      </c>
      <c r="D373" s="117" t="str">
        <f>VLOOKUP(B373,'Insumos e Serviços'!$A:$F,4,0)</f>
        <v>SERVENTE COM ENCARGOS COMPLEMENTARES</v>
      </c>
      <c r="E373" s="116" t="str">
        <f>VLOOKUP(B373,'Insumos e Serviços'!$A:$F,5,0)</f>
        <v>H</v>
      </c>
      <c r="F373" s="125">
        <v>0.9811</v>
      </c>
      <c r="G373" s="118">
        <f>VLOOKUP(B373,'Insumos e Serviços'!$A:$F,6,0)</f>
        <v>18.65</v>
      </c>
      <c r="H373" s="118">
        <f t="shared" si="15"/>
        <v>18.29</v>
      </c>
    </row>
    <row r="374" spans="1:8" ht="12.75">
      <c r="A374" s="115" t="str">
        <f>VLOOKUP(B374,'Insumos e Serviços'!$A:$F,3,0)</f>
        <v>Composição</v>
      </c>
      <c r="B374" s="116" t="s">
        <v>229</v>
      </c>
      <c r="C374" s="116" t="str">
        <f>VLOOKUP(B374,'Insumos e Serviços'!$A:$F,2,0)</f>
        <v>SINAPI</v>
      </c>
      <c r="D374" s="117" t="str">
        <f>VLOOKUP(B374,'Insumos e Serviços'!$A:$F,4,0)</f>
        <v>IMPERMEABILIZADOR COM ENCARGOS COMPLEMENTARES</v>
      </c>
      <c r="E374" s="116" t="str">
        <f>VLOOKUP(B374,'Insumos e Serviços'!$A:$F,5,0)</f>
        <v>H</v>
      </c>
      <c r="F374" s="125">
        <v>0.0445</v>
      </c>
      <c r="G374" s="118">
        <f>VLOOKUP(B374,'Insumos e Serviços'!$A:$F,6,0)</f>
        <v>25.09</v>
      </c>
      <c r="H374" s="118">
        <f t="shared" si="15"/>
        <v>1.11</v>
      </c>
    </row>
    <row r="375" spans="1:8" ht="12.75">
      <c r="A375" s="115" t="str">
        <f>VLOOKUP(B375,'Insumos e Serviços'!$A:$F,3,0)</f>
        <v>Insumo</v>
      </c>
      <c r="B375" s="116" t="s">
        <v>1132</v>
      </c>
      <c r="C375" s="116" t="str">
        <f>VLOOKUP(B375,'Insumos e Serviços'!$A:$F,2,0)</f>
        <v>SINAPI</v>
      </c>
      <c r="D375" s="117" t="str">
        <f>VLOOKUP(B375,'Insumos e Serviços'!$A:$F,4,0)</f>
        <v>MASSA PLASTICA PARA MARMORE/GRANITO</v>
      </c>
      <c r="E375" s="116" t="str">
        <f>VLOOKUP(B375,'Insumos e Serviços'!$A:$F,5,0)</f>
        <v>KG</v>
      </c>
      <c r="F375" s="125">
        <v>0.4449</v>
      </c>
      <c r="G375" s="118">
        <f>VLOOKUP(B375,'Insumos e Serviços'!$A:$F,6,0)</f>
        <v>37.37</v>
      </c>
      <c r="H375" s="118">
        <f t="shared" si="15"/>
        <v>16.62</v>
      </c>
    </row>
    <row r="376" spans="1:8" ht="22.5">
      <c r="A376" s="115" t="str">
        <f>VLOOKUP(B376,'Insumos e Serviços'!$A:$F,3,0)</f>
        <v>Insumo</v>
      </c>
      <c r="B376" s="116" t="s">
        <v>239</v>
      </c>
      <c r="C376" s="116" t="str">
        <f>VLOOKUP(B376,'Insumos e Serviços'!$A:$F,2,0)</f>
        <v>SINAPI</v>
      </c>
      <c r="D376" s="117" t="str">
        <f>VLOOKUP(B376,'Insumos e Serviços'!$A:$F,4,0)</f>
        <v>BUCHA DE NYLON SEM ABA S10, COM PARAFUSO DE 6,10 X 65 MM EM ACO ZINCADO COM ROSCA SOBERBA, CABECA CHATA E FENDA PHILLIPS</v>
      </c>
      <c r="E376" s="116" t="str">
        <f>VLOOKUP(B376,'Insumos e Serviços'!$A:$F,5,0)</f>
        <v>UN</v>
      </c>
      <c r="F376" s="125">
        <v>6</v>
      </c>
      <c r="G376" s="118">
        <f>VLOOKUP(B376,'Insumos e Serviços'!$A:$F,6,0)</f>
        <v>0.92</v>
      </c>
      <c r="H376" s="118">
        <f t="shared" si="15"/>
        <v>5.52</v>
      </c>
    </row>
    <row r="377" spans="1:8" ht="22.5">
      <c r="A377" s="115" t="str">
        <f>VLOOKUP(B377,'Insumos e Serviços'!$A:$F,3,0)</f>
        <v>Insumo</v>
      </c>
      <c r="B377" s="116" t="s">
        <v>1134</v>
      </c>
      <c r="C377" s="116" t="str">
        <f>VLOOKUP(B377,'Insumos e Serviços'!$A:$F,2,0)</f>
        <v>SINAPI</v>
      </c>
      <c r="D377" s="117" t="str">
        <f>VLOOKUP(B377,'Insumos e Serviços'!$A:$F,4,0)</f>
        <v>GRANITO PARA BANCADA, POLIDO, TIPO ANDORINHA/ QUARTZ/ CASTELO/ CORUMBA OU OUTROS EQUIVALENTES DA REGIAO, E=  *2,5* CM</v>
      </c>
      <c r="E377" s="116" t="str">
        <f>VLOOKUP(B377,'Insumos e Serviços'!$A:$F,5,0)</f>
        <v>m²</v>
      </c>
      <c r="F377" s="125">
        <v>0.5565</v>
      </c>
      <c r="G377" s="118">
        <f>VLOOKUP(B377,'Insumos e Serviços'!$A:$F,6,0)</f>
        <v>472.45</v>
      </c>
      <c r="H377" s="118">
        <f t="shared" si="15"/>
        <v>262.91</v>
      </c>
    </row>
    <row r="378" spans="1:8" ht="12.75">
      <c r="A378" s="115" t="str">
        <f>VLOOKUP(B378,'Insumos e Serviços'!$A:$F,3,0)</f>
        <v>Insumo</v>
      </c>
      <c r="B378" s="116" t="s">
        <v>1116</v>
      </c>
      <c r="C378" s="116" t="str">
        <f>VLOOKUP(B378,'Insumos e Serviços'!$A:$F,2,0)</f>
        <v>SINAPI</v>
      </c>
      <c r="D378" s="117" t="str">
        <f>VLOOKUP(B378,'Insumos e Serviços'!$A:$F,4,0)</f>
        <v>REJUNTE EPOXI, QUALQUER COR</v>
      </c>
      <c r="E378" s="116" t="str">
        <f>VLOOKUP(B378,'Insumos e Serviços'!$A:$F,5,0)</f>
        <v>KG</v>
      </c>
      <c r="F378" s="125">
        <v>0.0183</v>
      </c>
      <c r="G378" s="118">
        <f>VLOOKUP(B378,'Insumos e Serviços'!$A:$F,6,0)</f>
        <v>61.83</v>
      </c>
      <c r="H378" s="118">
        <f t="shared" si="15"/>
        <v>1.13</v>
      </c>
    </row>
    <row r="379" spans="1:8" ht="22.5">
      <c r="A379" s="115" t="str">
        <f>VLOOKUP(B379,'Insumos e Serviços'!$A:$F,3,0)</f>
        <v>Insumo</v>
      </c>
      <c r="B379" s="116" t="s">
        <v>1136</v>
      </c>
      <c r="C379" s="116" t="str">
        <f>VLOOKUP(B379,'Insumos e Serviços'!$A:$F,2,0)</f>
        <v>SINAPI</v>
      </c>
      <c r="D379" s="117" t="str">
        <f>VLOOKUP(B379,'Insumos e Serviços'!$A:$F,4,0)</f>
        <v>SUPORTE MAO-FRANCESA EM ACO, ABAS IGUAIS 30 CM, CAPACIDADE MINIMA 60 KG, BRANCO</v>
      </c>
      <c r="E379" s="116" t="str">
        <f>VLOOKUP(B379,'Insumos e Serviços'!$A:$F,5,0)</f>
        <v>UN</v>
      </c>
      <c r="F379" s="125">
        <v>2</v>
      </c>
      <c r="G379" s="118">
        <f>VLOOKUP(B379,'Insumos e Serviços'!$A:$F,6,0)</f>
        <v>21.58</v>
      </c>
      <c r="H379" s="118">
        <f t="shared" si="15"/>
        <v>43.16</v>
      </c>
    </row>
    <row r="380" spans="1:8" ht="34.5" thickBot="1">
      <c r="A380" s="115" t="str">
        <f>VLOOKUP(B380,'Insumos e Serviços'!$A:$F,3,0)</f>
        <v>Insumo</v>
      </c>
      <c r="B380" s="116" t="s">
        <v>233</v>
      </c>
      <c r="C380" s="116" t="str">
        <f>VLOOKUP(B380,'Insumos e Serviços'!$A:$F,2,0)</f>
        <v>Próprio</v>
      </c>
      <c r="D380" s="117" t="str">
        <f>VLOOKUP(B380,'Insumos e Serviços'!$A:$F,4,0)</f>
        <v>Impermeabilizante hidrofugante com efeito natural que não altera a cor da superfície, adequado para aplicação em granito, ref. Bellinzoni Proteção Contra Manchas</v>
      </c>
      <c r="E380" s="116" t="str">
        <f>VLOOKUP(B380,'Insumos e Serviços'!$A:$F,5,0)</f>
        <v>l</v>
      </c>
      <c r="F380" s="125">
        <v>0.2226</v>
      </c>
      <c r="G380" s="118">
        <f>VLOOKUP(B380,'Insumos e Serviços'!$A:$F,6,0)</f>
        <v>86.79</v>
      </c>
      <c r="H380" s="118">
        <f t="shared" si="15"/>
        <v>19.31</v>
      </c>
    </row>
    <row r="381" spans="1:8" ht="13.5" thickTop="1">
      <c r="A381" s="119"/>
      <c r="B381" s="119"/>
      <c r="C381" s="119"/>
      <c r="D381" s="119"/>
      <c r="E381" s="119"/>
      <c r="F381" s="126"/>
      <c r="G381" s="119"/>
      <c r="H381" s="119"/>
    </row>
    <row r="382" spans="1:8" ht="33.75">
      <c r="A382" s="111" t="s">
        <v>826</v>
      </c>
      <c r="B382" s="112" t="str">
        <f>VLOOKUP(A382,'Orçamento Sintético'!$A:$H,2,0)</f>
        <v> MPDFT1610 </v>
      </c>
      <c r="C382" s="112" t="str">
        <f>VLOOKUP(A382,'Orçamento Sintético'!$A:$H,3,0)</f>
        <v>Próprio</v>
      </c>
      <c r="D382" s="113" t="str">
        <f>VLOOKUP(A382,'Orçamento Sintético'!$A:$H,4,0)</f>
        <v>Copia da SINAPI (86895) - Mão de obra para instalação de bancada para lavatório em granito, largura 0,30m, com saia e rodabanca, inclusive massas</v>
      </c>
      <c r="E382" s="112" t="str">
        <f>VLOOKUP(A382,'Orçamento Sintético'!$A:$H,5,0)</f>
        <v>m</v>
      </c>
      <c r="F382" s="124"/>
      <c r="G382" s="114"/>
      <c r="H382" s="114">
        <f>SUM(H383:H388)</f>
        <v>104.48</v>
      </c>
    </row>
    <row r="383" spans="1:8" ht="12.75">
      <c r="A383" s="115" t="str">
        <f>VLOOKUP(B383,'Insumos e Serviços'!$A:$F,3,0)</f>
        <v>Composição</v>
      </c>
      <c r="B383" s="116" t="s">
        <v>232</v>
      </c>
      <c r="C383" s="116" t="str">
        <f>VLOOKUP(B383,'Insumos e Serviços'!$A:$F,2,0)</f>
        <v>SINAPI</v>
      </c>
      <c r="D383" s="117" t="str">
        <f>VLOOKUP(B383,'Insumos e Serviços'!$A:$F,4,0)</f>
        <v>MARMORISTA/GRANITEIRO COM ENCARGOS COMPLEMENTARES</v>
      </c>
      <c r="E383" s="116" t="str">
        <f>VLOOKUP(B383,'Insumos e Serviços'!$A:$F,5,0)</f>
        <v>H</v>
      </c>
      <c r="F383" s="125">
        <v>1.9209</v>
      </c>
      <c r="G383" s="118">
        <f>VLOOKUP(B383,'Insumos e Serviços'!$A:$F,6,0)</f>
        <v>25</v>
      </c>
      <c r="H383" s="118">
        <f aca="true" t="shared" si="16" ref="H383:H388">TRUNC(F383*G383,2)</f>
        <v>48.02</v>
      </c>
    </row>
    <row r="384" spans="1:8" ht="12.75">
      <c r="A384" s="115" t="str">
        <f>VLOOKUP(B384,'Insumos e Serviços'!$A:$F,3,0)</f>
        <v>Composição</v>
      </c>
      <c r="B384" s="116" t="s">
        <v>200</v>
      </c>
      <c r="C384" s="116" t="str">
        <f>VLOOKUP(B384,'Insumos e Serviços'!$A:$F,2,0)</f>
        <v>SINAPI</v>
      </c>
      <c r="D384" s="117" t="str">
        <f>VLOOKUP(B384,'Insumos e Serviços'!$A:$F,4,0)</f>
        <v>SERVENTE COM ENCARGOS COMPLEMENTARES</v>
      </c>
      <c r="E384" s="116" t="str">
        <f>VLOOKUP(B384,'Insumos e Serviços'!$A:$F,5,0)</f>
        <v>H</v>
      </c>
      <c r="F384" s="125">
        <v>0.9811</v>
      </c>
      <c r="G384" s="118">
        <f>VLOOKUP(B384,'Insumos e Serviços'!$A:$F,6,0)</f>
        <v>18.65</v>
      </c>
      <c r="H384" s="118">
        <f t="shared" si="16"/>
        <v>18.29</v>
      </c>
    </row>
    <row r="385" spans="1:8" ht="12.75">
      <c r="A385" s="115" t="str">
        <f>VLOOKUP(B385,'Insumos e Serviços'!$A:$F,3,0)</f>
        <v>Composição</v>
      </c>
      <c r="B385" s="116" t="s">
        <v>229</v>
      </c>
      <c r="C385" s="116" t="str">
        <f>VLOOKUP(B385,'Insumos e Serviços'!$A:$F,2,0)</f>
        <v>SINAPI</v>
      </c>
      <c r="D385" s="117" t="str">
        <f>VLOOKUP(B385,'Insumos e Serviços'!$A:$F,4,0)</f>
        <v>IMPERMEABILIZADOR COM ENCARGOS COMPLEMENTARES</v>
      </c>
      <c r="E385" s="116" t="str">
        <f>VLOOKUP(B385,'Insumos e Serviços'!$A:$F,5,0)</f>
        <v>H</v>
      </c>
      <c r="F385" s="125">
        <v>0.0445</v>
      </c>
      <c r="G385" s="118">
        <f>VLOOKUP(B385,'Insumos e Serviços'!$A:$F,6,0)</f>
        <v>25.09</v>
      </c>
      <c r="H385" s="118">
        <f t="shared" si="16"/>
        <v>1.11</v>
      </c>
    </row>
    <row r="386" spans="1:8" ht="12.75">
      <c r="A386" s="115" t="str">
        <f>VLOOKUP(B386,'Insumos e Serviços'!$A:$F,3,0)</f>
        <v>Insumo</v>
      </c>
      <c r="B386" s="116" t="s">
        <v>1132</v>
      </c>
      <c r="C386" s="116" t="str">
        <f>VLOOKUP(B386,'Insumos e Serviços'!$A:$F,2,0)</f>
        <v>SINAPI</v>
      </c>
      <c r="D386" s="117" t="str">
        <f>VLOOKUP(B386,'Insumos e Serviços'!$A:$F,4,0)</f>
        <v>MASSA PLASTICA PARA MARMORE/GRANITO</v>
      </c>
      <c r="E386" s="116" t="str">
        <f>VLOOKUP(B386,'Insumos e Serviços'!$A:$F,5,0)</f>
        <v>KG</v>
      </c>
      <c r="F386" s="125">
        <v>0.4449</v>
      </c>
      <c r="G386" s="118">
        <f>VLOOKUP(B386,'Insumos e Serviços'!$A:$F,6,0)</f>
        <v>37.37</v>
      </c>
      <c r="H386" s="118">
        <f t="shared" si="16"/>
        <v>16.62</v>
      </c>
    </row>
    <row r="387" spans="1:8" ht="12.75">
      <c r="A387" s="115" t="str">
        <f>VLOOKUP(B387,'Insumos e Serviços'!$A:$F,3,0)</f>
        <v>Insumo</v>
      </c>
      <c r="B387" s="116" t="s">
        <v>1116</v>
      </c>
      <c r="C387" s="116" t="str">
        <f>VLOOKUP(B387,'Insumos e Serviços'!$A:$F,2,0)</f>
        <v>SINAPI</v>
      </c>
      <c r="D387" s="117" t="str">
        <f>VLOOKUP(B387,'Insumos e Serviços'!$A:$F,4,0)</f>
        <v>REJUNTE EPOXI, QUALQUER COR</v>
      </c>
      <c r="E387" s="116" t="str">
        <f>VLOOKUP(B387,'Insumos e Serviços'!$A:$F,5,0)</f>
        <v>KG</v>
      </c>
      <c r="F387" s="125">
        <v>0.0183</v>
      </c>
      <c r="G387" s="118">
        <f>VLOOKUP(B387,'Insumos e Serviços'!$A:$F,6,0)</f>
        <v>61.83</v>
      </c>
      <c r="H387" s="118">
        <f t="shared" si="16"/>
        <v>1.13</v>
      </c>
    </row>
    <row r="388" spans="1:8" ht="34.5" thickBot="1">
      <c r="A388" s="115" t="str">
        <f>VLOOKUP(B388,'Insumos e Serviços'!$A:$F,3,0)</f>
        <v>Insumo</v>
      </c>
      <c r="B388" s="116" t="s">
        <v>233</v>
      </c>
      <c r="C388" s="116" t="str">
        <f>VLOOKUP(B388,'Insumos e Serviços'!$A:$F,2,0)</f>
        <v>Próprio</v>
      </c>
      <c r="D388" s="117" t="str">
        <f>VLOOKUP(B388,'Insumos e Serviços'!$A:$F,4,0)</f>
        <v>Impermeabilizante hidrofugante com efeito natural que não altera a cor da superfície, adequado para aplicação em granito, ref. Bellinzoni Proteção Contra Manchas</v>
      </c>
      <c r="E388" s="116" t="str">
        <f>VLOOKUP(B388,'Insumos e Serviços'!$A:$F,5,0)</f>
        <v>l</v>
      </c>
      <c r="F388" s="125">
        <v>0.2226</v>
      </c>
      <c r="G388" s="118">
        <f>VLOOKUP(B388,'Insumos e Serviços'!$A:$F,6,0)</f>
        <v>86.79</v>
      </c>
      <c r="H388" s="118">
        <f t="shared" si="16"/>
        <v>19.31</v>
      </c>
    </row>
    <row r="389" spans="1:8" ht="13.5" thickTop="1">
      <c r="A389" s="119"/>
      <c r="B389" s="119"/>
      <c r="C389" s="119"/>
      <c r="D389" s="119"/>
      <c r="E389" s="119"/>
      <c r="F389" s="126"/>
      <c r="G389" s="119"/>
      <c r="H389" s="119"/>
    </row>
    <row r="390" spans="1:8" ht="22.5">
      <c r="A390" s="111" t="s">
        <v>829</v>
      </c>
      <c r="B390" s="112" t="str">
        <f>VLOOKUP(A390,'Orçamento Sintético'!$A:$H,2,0)</f>
        <v> MPDFT0272 </v>
      </c>
      <c r="C390" s="112" t="str">
        <f>VLOOKUP(A390,'Orçamento Sintético'!$A:$H,3,0)</f>
        <v>Próprio</v>
      </c>
      <c r="D390" s="113" t="str">
        <f>VLOOKUP(A390,'Orçamento Sintético'!$A:$H,4,0)</f>
        <v>Copia da SINAPI (86895) - Mão de obra para instalação de prateleira ou banco em granito, L=0,30m, incluindo impermeabilização</v>
      </c>
      <c r="E390" s="112" t="str">
        <f>VLOOKUP(A390,'Orçamento Sintético'!$A:$H,5,0)</f>
        <v>m</v>
      </c>
      <c r="F390" s="124"/>
      <c r="G390" s="114"/>
      <c r="H390" s="114">
        <f>SUM(H391:H396)</f>
        <v>89.07999999999998</v>
      </c>
    </row>
    <row r="391" spans="1:8" ht="12.75">
      <c r="A391" s="115" t="str">
        <f>VLOOKUP(B391,'Insumos e Serviços'!$A:$F,3,0)</f>
        <v>Composição</v>
      </c>
      <c r="B391" s="116" t="s">
        <v>200</v>
      </c>
      <c r="C391" s="116" t="str">
        <f>VLOOKUP(B391,'Insumos e Serviços'!$A:$F,2,0)</f>
        <v>SINAPI</v>
      </c>
      <c r="D391" s="117" t="str">
        <f>VLOOKUP(B391,'Insumos e Serviços'!$A:$F,4,0)</f>
        <v>SERVENTE COM ENCARGOS COMPLEMENTARES</v>
      </c>
      <c r="E391" s="116" t="str">
        <f>VLOOKUP(B391,'Insumos e Serviços'!$A:$F,5,0)</f>
        <v>H</v>
      </c>
      <c r="F391" s="125">
        <v>0.9811</v>
      </c>
      <c r="G391" s="118">
        <f>VLOOKUP(B391,'Insumos e Serviços'!$A:$F,6,0)</f>
        <v>18.65</v>
      </c>
      <c r="H391" s="118">
        <f aca="true" t="shared" si="17" ref="H391:H396">TRUNC(F391*G391,2)</f>
        <v>18.29</v>
      </c>
    </row>
    <row r="392" spans="1:8" ht="12.75">
      <c r="A392" s="115" t="str">
        <f>VLOOKUP(B392,'Insumos e Serviços'!$A:$F,3,0)</f>
        <v>Composição</v>
      </c>
      <c r="B392" s="116" t="s">
        <v>229</v>
      </c>
      <c r="C392" s="116" t="str">
        <f>VLOOKUP(B392,'Insumos e Serviços'!$A:$F,2,0)</f>
        <v>SINAPI</v>
      </c>
      <c r="D392" s="117" t="str">
        <f>VLOOKUP(B392,'Insumos e Serviços'!$A:$F,4,0)</f>
        <v>IMPERMEABILIZADOR COM ENCARGOS COMPLEMENTARES</v>
      </c>
      <c r="E392" s="116" t="str">
        <f>VLOOKUP(B392,'Insumos e Serviços'!$A:$F,5,0)</f>
        <v>H</v>
      </c>
      <c r="F392" s="125">
        <v>0.3238</v>
      </c>
      <c r="G392" s="118">
        <f>VLOOKUP(B392,'Insumos e Serviços'!$A:$F,6,0)</f>
        <v>25.09</v>
      </c>
      <c r="H392" s="118">
        <f t="shared" si="17"/>
        <v>8.12</v>
      </c>
    </row>
    <row r="393" spans="1:8" ht="22.5">
      <c r="A393" s="115" t="str">
        <f>VLOOKUP(B393,'Insumos e Serviços'!$A:$F,3,0)</f>
        <v>Insumo</v>
      </c>
      <c r="B393" s="116" t="s">
        <v>239</v>
      </c>
      <c r="C393" s="116" t="str">
        <f>VLOOKUP(B393,'Insumos e Serviços'!$A:$F,2,0)</f>
        <v>SINAPI</v>
      </c>
      <c r="D393" s="117" t="str">
        <f>VLOOKUP(B393,'Insumos e Serviços'!$A:$F,4,0)</f>
        <v>BUCHA DE NYLON SEM ABA S10, COM PARAFUSO DE 6,10 X 65 MM EM ACO ZINCADO COM ROSCA SOBERBA, CABECA CHATA E FENDA PHILLIPS</v>
      </c>
      <c r="E393" s="116" t="str">
        <f>VLOOKUP(B393,'Insumos e Serviços'!$A:$F,5,0)</f>
        <v>UN</v>
      </c>
      <c r="F393" s="125">
        <v>6</v>
      </c>
      <c r="G393" s="118">
        <f>VLOOKUP(B393,'Insumos e Serviços'!$A:$F,6,0)</f>
        <v>0.92</v>
      </c>
      <c r="H393" s="118">
        <f t="shared" si="17"/>
        <v>5.52</v>
      </c>
    </row>
    <row r="394" spans="1:8" ht="12.75">
      <c r="A394" s="115" t="str">
        <f>VLOOKUP(B394,'Insumos e Serviços'!$A:$F,3,0)</f>
        <v>Insumo</v>
      </c>
      <c r="B394" s="116" t="s">
        <v>1116</v>
      </c>
      <c r="C394" s="116" t="str">
        <f>VLOOKUP(B394,'Insumos e Serviços'!$A:$F,2,0)</f>
        <v>SINAPI</v>
      </c>
      <c r="D394" s="117" t="str">
        <f>VLOOKUP(B394,'Insumos e Serviços'!$A:$F,4,0)</f>
        <v>REJUNTE EPOXI, QUALQUER COR</v>
      </c>
      <c r="E394" s="116" t="str">
        <f>VLOOKUP(B394,'Insumos e Serviços'!$A:$F,5,0)</f>
        <v>KG</v>
      </c>
      <c r="F394" s="125">
        <v>0.0154</v>
      </c>
      <c r="G394" s="118">
        <f>VLOOKUP(B394,'Insumos e Serviços'!$A:$F,6,0)</f>
        <v>61.83</v>
      </c>
      <c r="H394" s="118">
        <f t="shared" si="17"/>
        <v>0.95</v>
      </c>
    </row>
    <row r="395" spans="1:8" ht="22.5">
      <c r="A395" s="115" t="str">
        <f>VLOOKUP(B395,'Insumos e Serviços'!$A:$F,3,0)</f>
        <v>Insumo</v>
      </c>
      <c r="B395" s="116" t="s">
        <v>1136</v>
      </c>
      <c r="C395" s="116" t="str">
        <f>VLOOKUP(B395,'Insumos e Serviços'!$A:$F,2,0)</f>
        <v>SINAPI</v>
      </c>
      <c r="D395" s="117" t="str">
        <f>VLOOKUP(B395,'Insumos e Serviços'!$A:$F,4,0)</f>
        <v>SUPORTE MAO-FRANCESA EM ACO, ABAS IGUAIS 30 CM, CAPACIDADE MINIMA 60 KG, BRANCO</v>
      </c>
      <c r="E395" s="116" t="str">
        <f>VLOOKUP(B395,'Insumos e Serviços'!$A:$F,5,0)</f>
        <v>UN</v>
      </c>
      <c r="F395" s="125">
        <v>2</v>
      </c>
      <c r="G395" s="118">
        <f>VLOOKUP(B395,'Insumos e Serviços'!$A:$F,6,0)</f>
        <v>21.58</v>
      </c>
      <c r="H395" s="118">
        <f t="shared" si="17"/>
        <v>43.16</v>
      </c>
    </row>
    <row r="396" spans="1:8" ht="34.5" thickBot="1">
      <c r="A396" s="115" t="str">
        <f>VLOOKUP(B396,'Insumos e Serviços'!$A:$F,3,0)</f>
        <v>Insumo</v>
      </c>
      <c r="B396" s="116" t="s">
        <v>233</v>
      </c>
      <c r="C396" s="116" t="str">
        <f>VLOOKUP(B396,'Insumos e Serviços'!$A:$F,2,0)</f>
        <v>Próprio</v>
      </c>
      <c r="D396" s="117" t="str">
        <f>VLOOKUP(B396,'Insumos e Serviços'!$A:$F,4,0)</f>
        <v>Impermeabilizante hidrofugante com efeito natural que não altera a cor da superfície, adequado para aplicação em granito, ref. Bellinzoni Proteção Contra Manchas</v>
      </c>
      <c r="E396" s="116" t="str">
        <f>VLOOKUP(B396,'Insumos e Serviços'!$A:$F,5,0)</f>
        <v>l</v>
      </c>
      <c r="F396" s="125">
        <v>0.1503</v>
      </c>
      <c r="G396" s="118">
        <f>VLOOKUP(B396,'Insumos e Serviços'!$A:$F,6,0)</f>
        <v>86.79</v>
      </c>
      <c r="H396" s="118">
        <f t="shared" si="17"/>
        <v>13.04</v>
      </c>
    </row>
    <row r="397" spans="1:8" ht="13.5" thickTop="1">
      <c r="A397" s="119"/>
      <c r="B397" s="119"/>
      <c r="C397" s="119"/>
      <c r="D397" s="119"/>
      <c r="E397" s="119"/>
      <c r="F397" s="126"/>
      <c r="G397" s="119"/>
      <c r="H397" s="119"/>
    </row>
    <row r="398" spans="1:8" ht="22.5">
      <c r="A398" s="111" t="s">
        <v>832</v>
      </c>
      <c r="B398" s="112" t="str">
        <f>VLOOKUP(A398,'Orçamento Sintético'!$A:$H,2,0)</f>
        <v> MPDFT1616 </v>
      </c>
      <c r="C398" s="112" t="str">
        <f>VLOOKUP(A398,'Orçamento Sintético'!$A:$H,3,0)</f>
        <v>Próprio</v>
      </c>
      <c r="D398" s="113" t="str">
        <f>VLOOKUP(A398,'Orçamento Sintético'!$A:$H,4,0)</f>
        <v>Elemento em granito para bancada - saia ou rodabanca - inclusive impermeabilização e massa</v>
      </c>
      <c r="E398" s="112" t="str">
        <f>VLOOKUP(A398,'Orçamento Sintético'!$A:$H,5,0)</f>
        <v>m²</v>
      </c>
      <c r="F398" s="124"/>
      <c r="G398" s="114"/>
      <c r="H398" s="114">
        <f>SUM(H399:H403)</f>
        <v>551.3399999999999</v>
      </c>
    </row>
    <row r="399" spans="1:8" ht="12.75">
      <c r="A399" s="115" t="str">
        <f>VLOOKUP(B399,'Insumos e Serviços'!$A:$F,3,0)</f>
        <v>Composição</v>
      </c>
      <c r="B399" s="116" t="s">
        <v>232</v>
      </c>
      <c r="C399" s="116" t="str">
        <f>VLOOKUP(B399,'Insumos e Serviços'!$A:$F,2,0)</f>
        <v>SINAPI</v>
      </c>
      <c r="D399" s="117" t="str">
        <f>VLOOKUP(B399,'Insumos e Serviços'!$A:$F,4,0)</f>
        <v>MARMORISTA/GRANITEIRO COM ENCARGOS COMPLEMENTARES</v>
      </c>
      <c r="E399" s="116" t="str">
        <f>VLOOKUP(B399,'Insumos e Serviços'!$A:$F,5,0)</f>
        <v>H</v>
      </c>
      <c r="F399" s="125">
        <v>1.4944</v>
      </c>
      <c r="G399" s="118">
        <f>VLOOKUP(B399,'Insumos e Serviços'!$A:$F,6,0)</f>
        <v>25</v>
      </c>
      <c r="H399" s="118">
        <f>TRUNC(F399*G399,2)</f>
        <v>37.36</v>
      </c>
    </row>
    <row r="400" spans="1:8" ht="12.75">
      <c r="A400" s="115" t="str">
        <f>VLOOKUP(B400,'Insumos e Serviços'!$A:$F,3,0)</f>
        <v>Composição</v>
      </c>
      <c r="B400" s="116" t="s">
        <v>200</v>
      </c>
      <c r="C400" s="116" t="str">
        <f>VLOOKUP(B400,'Insumos e Serviços'!$A:$F,2,0)</f>
        <v>SINAPI</v>
      </c>
      <c r="D400" s="117" t="str">
        <f>VLOOKUP(B400,'Insumos e Serviços'!$A:$F,4,0)</f>
        <v>SERVENTE COM ENCARGOS COMPLEMENTARES</v>
      </c>
      <c r="E400" s="116" t="str">
        <f>VLOOKUP(B400,'Insumos e Serviços'!$A:$F,5,0)</f>
        <v>H</v>
      </c>
      <c r="F400" s="125">
        <v>0.9834</v>
      </c>
      <c r="G400" s="118">
        <f>VLOOKUP(B400,'Insumos e Serviços'!$A:$F,6,0)</f>
        <v>18.65</v>
      </c>
      <c r="H400" s="118">
        <f>TRUNC(F400*G400,2)</f>
        <v>18.34</v>
      </c>
    </row>
    <row r="401" spans="1:8" ht="12.75">
      <c r="A401" s="115" t="str">
        <f>VLOOKUP(B401,'Insumos e Serviços'!$A:$F,3,0)</f>
        <v>Insumo</v>
      </c>
      <c r="B401" s="116" t="s">
        <v>1132</v>
      </c>
      <c r="C401" s="116" t="str">
        <f>VLOOKUP(B401,'Insumos e Serviços'!$A:$F,2,0)</f>
        <v>SINAPI</v>
      </c>
      <c r="D401" s="117" t="str">
        <f>VLOOKUP(B401,'Insumos e Serviços'!$A:$F,4,0)</f>
        <v>MASSA PLASTICA PARA MARMORE/GRANITO</v>
      </c>
      <c r="E401" s="116" t="str">
        <f>VLOOKUP(B401,'Insumos e Serviços'!$A:$F,5,0)</f>
        <v>KG</v>
      </c>
      <c r="F401" s="125">
        <v>0.5228</v>
      </c>
      <c r="G401" s="118">
        <f>VLOOKUP(B401,'Insumos e Serviços'!$A:$F,6,0)</f>
        <v>37.37</v>
      </c>
      <c r="H401" s="118">
        <f>TRUNC(F401*G401,2)</f>
        <v>19.53</v>
      </c>
    </row>
    <row r="402" spans="1:8" ht="22.5">
      <c r="A402" s="115" t="str">
        <f>VLOOKUP(B402,'Insumos e Serviços'!$A:$F,3,0)</f>
        <v>Insumo</v>
      </c>
      <c r="B402" s="116" t="s">
        <v>1134</v>
      </c>
      <c r="C402" s="116" t="str">
        <f>VLOOKUP(B402,'Insumos e Serviços'!$A:$F,2,0)</f>
        <v>SINAPI</v>
      </c>
      <c r="D402" s="117" t="str">
        <f>VLOOKUP(B402,'Insumos e Serviços'!$A:$F,4,0)</f>
        <v>GRANITO PARA BANCADA, POLIDO, TIPO ANDORINHA/ QUARTZ/ CASTELO/ CORUMBA OU OUTROS EQUIVALENTES DA REGIAO, E=  *2,5* CM</v>
      </c>
      <c r="E402" s="116" t="str">
        <f>VLOOKUP(B402,'Insumos e Serviços'!$A:$F,5,0)</f>
        <v>m²</v>
      </c>
      <c r="F402" s="125">
        <v>1.005</v>
      </c>
      <c r="G402" s="118">
        <f>VLOOKUP(B402,'Insumos e Serviços'!$A:$F,6,0)</f>
        <v>472.45</v>
      </c>
      <c r="H402" s="118">
        <f>TRUNC(F402*G402,2)</f>
        <v>474.81</v>
      </c>
    </row>
    <row r="403" spans="1:8" ht="13.5" thickBot="1">
      <c r="A403" s="115" t="str">
        <f>VLOOKUP(B403,'Insumos e Serviços'!$A:$F,3,0)</f>
        <v>Insumo</v>
      </c>
      <c r="B403" s="116" t="s">
        <v>1116</v>
      </c>
      <c r="C403" s="116" t="str">
        <f>VLOOKUP(B403,'Insumos e Serviços'!$A:$F,2,0)</f>
        <v>SINAPI</v>
      </c>
      <c r="D403" s="117" t="str">
        <f>VLOOKUP(B403,'Insumos e Serviços'!$A:$F,4,0)</f>
        <v>REJUNTE EPOXI, QUALQUER COR</v>
      </c>
      <c r="E403" s="116" t="str">
        <f>VLOOKUP(B403,'Insumos e Serviços'!$A:$F,5,0)</f>
        <v>KG</v>
      </c>
      <c r="F403" s="125">
        <v>0.0211</v>
      </c>
      <c r="G403" s="118">
        <f>VLOOKUP(B403,'Insumos e Serviços'!$A:$F,6,0)</f>
        <v>61.83</v>
      </c>
      <c r="H403" s="118">
        <f>TRUNC(F403*G403,2)</f>
        <v>1.3</v>
      </c>
    </row>
    <row r="404" spans="1:8" ht="13.5" thickTop="1">
      <c r="A404" s="119"/>
      <c r="B404" s="119"/>
      <c r="C404" s="119"/>
      <c r="D404" s="119"/>
      <c r="E404" s="119"/>
      <c r="F404" s="126"/>
      <c r="G404" s="119"/>
      <c r="H404" s="119"/>
    </row>
    <row r="405" spans="1:8" ht="33.75">
      <c r="A405" s="111" t="s">
        <v>836</v>
      </c>
      <c r="B405" s="112" t="str">
        <f>VLOOKUP(A405,'Orçamento Sintético'!$A:$H,2,0)</f>
        <v> MPDFT0900 </v>
      </c>
      <c r="C405" s="112" t="str">
        <f>VLOOKUP(A405,'Orçamento Sintético'!$A:$H,3,0)</f>
        <v>Próprio</v>
      </c>
      <c r="D405" s="113" t="str">
        <f>VLOOKUP(A405,'Orçamento Sintético'!$A:$H,4,0)</f>
        <v>Copia da SEINFRA (C4642) - Trocador de fraldas horizontal, retrátil, dimensões: 85x55x10cm, linha Clean Horizontal, marca Ampliando o Espaço</v>
      </c>
      <c r="E405" s="112" t="str">
        <f>VLOOKUP(A405,'Orçamento Sintético'!$A:$H,5,0)</f>
        <v>un</v>
      </c>
      <c r="F405" s="124"/>
      <c r="G405" s="114"/>
      <c r="H405" s="114">
        <f>SUM(H406:H408)</f>
        <v>805.93</v>
      </c>
    </row>
    <row r="406" spans="1:8" ht="12.75">
      <c r="A406" s="115" t="str">
        <f>VLOOKUP(B406,'Insumos e Serviços'!$A:$F,3,0)</f>
        <v>Composição</v>
      </c>
      <c r="B406" s="116" t="s">
        <v>210</v>
      </c>
      <c r="C406" s="116" t="str">
        <f>VLOOKUP(B406,'Insumos e Serviços'!$A:$F,2,0)</f>
        <v>SINAPI</v>
      </c>
      <c r="D406" s="117" t="str">
        <f>VLOOKUP(B406,'Insumos e Serviços'!$A:$F,4,0)</f>
        <v>PEDREIRO COM ENCARGOS COMPLEMENTARES</v>
      </c>
      <c r="E406" s="116" t="str">
        <f>VLOOKUP(B406,'Insumos e Serviços'!$A:$F,5,0)</f>
        <v>H</v>
      </c>
      <c r="F406" s="125">
        <v>0.25</v>
      </c>
      <c r="G406" s="118">
        <f>VLOOKUP(B406,'Insumos e Serviços'!$A:$F,6,0)</f>
        <v>25.09</v>
      </c>
      <c r="H406" s="118">
        <f>TRUNC(F406*G406,2)</f>
        <v>6.27</v>
      </c>
    </row>
    <row r="407" spans="1:8" ht="12.75">
      <c r="A407" s="115" t="str">
        <f>VLOOKUP(B407,'Insumos e Serviços'!$A:$F,3,0)</f>
        <v>Composição</v>
      </c>
      <c r="B407" s="116" t="s">
        <v>200</v>
      </c>
      <c r="C407" s="116" t="str">
        <f>VLOOKUP(B407,'Insumos e Serviços'!$A:$F,2,0)</f>
        <v>SINAPI</v>
      </c>
      <c r="D407" s="117" t="str">
        <f>VLOOKUP(B407,'Insumos e Serviços'!$A:$F,4,0)</f>
        <v>SERVENTE COM ENCARGOS COMPLEMENTARES</v>
      </c>
      <c r="E407" s="116" t="str">
        <f>VLOOKUP(B407,'Insumos e Serviços'!$A:$F,5,0)</f>
        <v>H</v>
      </c>
      <c r="F407" s="125">
        <v>0.25</v>
      </c>
      <c r="G407" s="118">
        <f>VLOOKUP(B407,'Insumos e Serviços'!$A:$F,6,0)</f>
        <v>18.65</v>
      </c>
      <c r="H407" s="118">
        <f>TRUNC(F407*G407,2)</f>
        <v>4.66</v>
      </c>
    </row>
    <row r="408" spans="1:8" ht="23.25" thickBot="1">
      <c r="A408" s="115" t="str">
        <f>VLOOKUP(B408,'Insumos e Serviços'!$A:$F,3,0)</f>
        <v>Insumo</v>
      </c>
      <c r="B408" s="116" t="s">
        <v>497</v>
      </c>
      <c r="C408" s="116" t="str">
        <f>VLOOKUP(B408,'Insumos e Serviços'!$A:$F,2,0)</f>
        <v>Próprio</v>
      </c>
      <c r="D408" s="117" t="str">
        <f>VLOOKUP(B408,'Insumos e Serviços'!$A:$F,4,0)</f>
        <v>Trocador de fraldas horizontal, retrátil, dimensões: 85x55x10cm, linha Clean Horizontal, marca Ampliando Espaço</v>
      </c>
      <c r="E408" s="116" t="str">
        <f>VLOOKUP(B408,'Insumos e Serviços'!$A:$F,5,0)</f>
        <v>un</v>
      </c>
      <c r="F408" s="125">
        <v>1</v>
      </c>
      <c r="G408" s="118">
        <f>VLOOKUP(B408,'Insumos e Serviços'!$A:$F,6,0)</f>
        <v>795</v>
      </c>
      <c r="H408" s="118">
        <f>TRUNC(F408*G408,2)</f>
        <v>795</v>
      </c>
    </row>
    <row r="409" spans="1:8" ht="13.5" thickTop="1">
      <c r="A409" s="119"/>
      <c r="B409" s="119"/>
      <c r="C409" s="119"/>
      <c r="D409" s="119"/>
      <c r="E409" s="119"/>
      <c r="F409" s="126"/>
      <c r="G409" s="119"/>
      <c r="H409" s="119"/>
    </row>
    <row r="410" spans="1:8" ht="22.5">
      <c r="A410" s="111" t="s">
        <v>839</v>
      </c>
      <c r="B410" s="112" t="str">
        <f>VLOOKUP(A410,'Orçamento Sintético'!$A:$H,2,0)</f>
        <v> MPDFT0901 </v>
      </c>
      <c r="C410" s="112" t="str">
        <f>VLOOKUP(A410,'Orçamento Sintético'!$A:$H,3,0)</f>
        <v>Próprio</v>
      </c>
      <c r="D410" s="113" t="str">
        <f>VLOOKUP(A410,'Orçamento Sintético'!$A:$H,4,0)</f>
        <v>Copia da SEINFRA (C4642) - Trocador de fraldas vertical, retrátil, dimensões: 53x69x10cm, linha Ultra Clean, marca Ampliando Espaço</v>
      </c>
      <c r="E410" s="112" t="str">
        <f>VLOOKUP(A410,'Orçamento Sintético'!$A:$H,5,0)</f>
        <v>un</v>
      </c>
      <c r="F410" s="124"/>
      <c r="G410" s="114"/>
      <c r="H410" s="114">
        <f>SUM(H411:H413)</f>
        <v>775.93</v>
      </c>
    </row>
    <row r="411" spans="1:8" ht="12.75">
      <c r="A411" s="115" t="str">
        <f>VLOOKUP(B411,'Insumos e Serviços'!$A:$F,3,0)</f>
        <v>Composição</v>
      </c>
      <c r="B411" s="116" t="s">
        <v>210</v>
      </c>
      <c r="C411" s="116" t="str">
        <f>VLOOKUP(B411,'Insumos e Serviços'!$A:$F,2,0)</f>
        <v>SINAPI</v>
      </c>
      <c r="D411" s="117" t="str">
        <f>VLOOKUP(B411,'Insumos e Serviços'!$A:$F,4,0)</f>
        <v>PEDREIRO COM ENCARGOS COMPLEMENTARES</v>
      </c>
      <c r="E411" s="116" t="str">
        <f>VLOOKUP(B411,'Insumos e Serviços'!$A:$F,5,0)</f>
        <v>H</v>
      </c>
      <c r="F411" s="125">
        <v>0.25</v>
      </c>
      <c r="G411" s="118">
        <f>VLOOKUP(B411,'Insumos e Serviços'!$A:$F,6,0)</f>
        <v>25.09</v>
      </c>
      <c r="H411" s="118">
        <f>TRUNC(F411*G411,2)</f>
        <v>6.27</v>
      </c>
    </row>
    <row r="412" spans="1:8" ht="12.75">
      <c r="A412" s="115" t="str">
        <f>VLOOKUP(B412,'Insumos e Serviços'!$A:$F,3,0)</f>
        <v>Composição</v>
      </c>
      <c r="B412" s="116" t="s">
        <v>200</v>
      </c>
      <c r="C412" s="116" t="str">
        <f>VLOOKUP(B412,'Insumos e Serviços'!$A:$F,2,0)</f>
        <v>SINAPI</v>
      </c>
      <c r="D412" s="117" t="str">
        <f>VLOOKUP(B412,'Insumos e Serviços'!$A:$F,4,0)</f>
        <v>SERVENTE COM ENCARGOS COMPLEMENTARES</v>
      </c>
      <c r="E412" s="116" t="str">
        <f>VLOOKUP(B412,'Insumos e Serviços'!$A:$F,5,0)</f>
        <v>H</v>
      </c>
      <c r="F412" s="125">
        <v>0.25</v>
      </c>
      <c r="G412" s="118">
        <f>VLOOKUP(B412,'Insumos e Serviços'!$A:$F,6,0)</f>
        <v>18.65</v>
      </c>
      <c r="H412" s="118">
        <f>TRUNC(F412*G412,2)</f>
        <v>4.66</v>
      </c>
    </row>
    <row r="413" spans="1:8" ht="23.25" thickBot="1">
      <c r="A413" s="115" t="str">
        <f>VLOOKUP(B413,'Insumos e Serviços'!$A:$F,3,0)</f>
        <v>Insumo</v>
      </c>
      <c r="B413" s="116" t="s">
        <v>495</v>
      </c>
      <c r="C413" s="116" t="str">
        <f>VLOOKUP(B413,'Insumos e Serviços'!$A:$F,2,0)</f>
        <v>Próprio</v>
      </c>
      <c r="D413" s="117" t="str">
        <f>VLOOKUP(B413,'Insumos e Serviços'!$A:$F,4,0)</f>
        <v>Trocador de fraldas vertical, retrátil, dimensões: 53x69x10cm, linha Ultra Clean, marca Ampliando Espaço</v>
      </c>
      <c r="E413" s="116" t="str">
        <f>VLOOKUP(B413,'Insumos e Serviços'!$A:$F,5,0)</f>
        <v>un</v>
      </c>
      <c r="F413" s="125">
        <v>1</v>
      </c>
      <c r="G413" s="118">
        <f>VLOOKUP(B413,'Insumos e Serviços'!$A:$F,6,0)</f>
        <v>765</v>
      </c>
      <c r="H413" s="118">
        <f>TRUNC(F413*G413,2)</f>
        <v>765</v>
      </c>
    </row>
    <row r="414" spans="1:8" ht="13.5" thickTop="1">
      <c r="A414" s="119"/>
      <c r="B414" s="119"/>
      <c r="C414" s="119"/>
      <c r="D414" s="119"/>
      <c r="E414" s="119"/>
      <c r="F414" s="126"/>
      <c r="G414" s="119"/>
      <c r="H414" s="119"/>
    </row>
    <row r="415" spans="1:8" ht="22.5">
      <c r="A415" s="111" t="s">
        <v>842</v>
      </c>
      <c r="B415" s="112" t="str">
        <f>VLOOKUP(A415,'Orçamento Sintético'!$A:$H,2,0)</f>
        <v> MPDFT0919 </v>
      </c>
      <c r="C415" s="112" t="str">
        <f>VLOOKUP(A415,'Orçamento Sintético'!$A:$H,3,0)</f>
        <v>Próprio</v>
      </c>
      <c r="D415" s="113" t="str">
        <f>VLOOKUP(A415,'Orçamento Sintético'!$A:$H,4,0)</f>
        <v>Cópia da AGETOP CIVIL (081760) - Grelha quadrada para ralo 10x10cm, em aço inox AISI 304, ref. 94535002, fab. Tramontina</v>
      </c>
      <c r="E415" s="112" t="str">
        <f>VLOOKUP(A415,'Orçamento Sintético'!$A:$H,5,0)</f>
        <v>un</v>
      </c>
      <c r="F415" s="124"/>
      <c r="G415" s="114"/>
      <c r="H415" s="114">
        <f>SUM(H416:H418)</f>
        <v>11.53</v>
      </c>
    </row>
    <row r="416" spans="1:8" ht="12.75">
      <c r="A416" s="115" t="str">
        <f>VLOOKUP(B416,'Insumos e Serviços'!$A:$F,3,0)</f>
        <v>Composição</v>
      </c>
      <c r="B416" s="116" t="s">
        <v>205</v>
      </c>
      <c r="C416" s="116" t="str">
        <f>VLOOKUP(B416,'Insumos e Serviços'!$A:$F,2,0)</f>
        <v>SINAPI</v>
      </c>
      <c r="D416" s="117" t="str">
        <f>VLOOKUP(B416,'Insumos e Serviços'!$A:$F,4,0)</f>
        <v>ENCANADOR OU BOMBEIRO HIDRÁULICO COM ENCARGOS COMPLEMENTARES</v>
      </c>
      <c r="E416" s="116" t="str">
        <f>VLOOKUP(B416,'Insumos e Serviços'!$A:$F,5,0)</f>
        <v>H</v>
      </c>
      <c r="F416" s="125">
        <v>0.08</v>
      </c>
      <c r="G416" s="118">
        <f>VLOOKUP(B416,'Insumos e Serviços'!$A:$F,6,0)</f>
        <v>24.48</v>
      </c>
      <c r="H416" s="118">
        <f>TRUNC(F416*G416,2)</f>
        <v>1.95</v>
      </c>
    </row>
    <row r="417" spans="1:8" ht="22.5">
      <c r="A417" s="115" t="str">
        <f>VLOOKUP(B417,'Insumos e Serviços'!$A:$F,3,0)</f>
        <v>Composição</v>
      </c>
      <c r="B417" s="116" t="s">
        <v>204</v>
      </c>
      <c r="C417" s="116" t="str">
        <f>VLOOKUP(B417,'Insumos e Serviços'!$A:$F,2,0)</f>
        <v>SINAPI</v>
      </c>
      <c r="D417" s="117" t="str">
        <f>VLOOKUP(B417,'Insumos e Serviços'!$A:$F,4,0)</f>
        <v>AUXILIAR DE ENCANADOR OU BOMBEIRO HIDRÁULICO COM ENCARGOS COMPLEMENTARES</v>
      </c>
      <c r="E417" s="116" t="str">
        <f>VLOOKUP(B417,'Insumos e Serviços'!$A:$F,5,0)</f>
        <v>H</v>
      </c>
      <c r="F417" s="125">
        <v>0.08</v>
      </c>
      <c r="G417" s="118">
        <f>VLOOKUP(B417,'Insumos e Serviços'!$A:$F,6,0)</f>
        <v>19.31</v>
      </c>
      <c r="H417" s="118">
        <f>TRUNC(F417*G417,2)</f>
        <v>1.54</v>
      </c>
    </row>
    <row r="418" spans="1:8" ht="23.25" thickBot="1">
      <c r="A418" s="115" t="str">
        <f>VLOOKUP(B418,'Insumos e Serviços'!$A:$F,3,0)</f>
        <v>Insumo</v>
      </c>
      <c r="B418" s="116" t="s">
        <v>403</v>
      </c>
      <c r="C418" s="116" t="str">
        <f>VLOOKUP(B418,'Insumos e Serviços'!$A:$F,2,0)</f>
        <v>Próprio</v>
      </c>
      <c r="D418" s="117" t="str">
        <f>VLOOKUP(B418,'Insumos e Serviços'!$A:$F,4,0)</f>
        <v>Grelha para ralo quadrado em aço inox AISI 304, fab. Tramontina, código 94535002, dimensões (comprimento x largura x altura) 100 x 100 x 4 mm</v>
      </c>
      <c r="E418" s="116" t="str">
        <f>VLOOKUP(B418,'Insumos e Serviços'!$A:$F,5,0)</f>
        <v>un</v>
      </c>
      <c r="F418" s="125">
        <v>1</v>
      </c>
      <c r="G418" s="118">
        <f>VLOOKUP(B418,'Insumos e Serviços'!$A:$F,6,0)</f>
        <v>8.04</v>
      </c>
      <c r="H418" s="118">
        <f>TRUNC(F418*G418,2)</f>
        <v>8.04</v>
      </c>
    </row>
    <row r="419" spans="1:8" ht="13.5" thickTop="1">
      <c r="A419" s="119"/>
      <c r="B419" s="119"/>
      <c r="C419" s="119"/>
      <c r="D419" s="119"/>
      <c r="E419" s="119"/>
      <c r="F419" s="126"/>
      <c r="G419" s="119"/>
      <c r="H419" s="119"/>
    </row>
    <row r="420" spans="1:8" ht="22.5">
      <c r="A420" s="111" t="s">
        <v>845</v>
      </c>
      <c r="B420" s="112" t="str">
        <f>VLOOKUP(A420,'Orçamento Sintético'!$A:$H,2,0)</f>
        <v> MPDFT0920 </v>
      </c>
      <c r="C420" s="112" t="str">
        <f>VLOOKUP(A420,'Orçamento Sintético'!$A:$H,3,0)</f>
        <v>Próprio</v>
      </c>
      <c r="D420" s="113" t="str">
        <f>VLOOKUP(A420,'Orçamento Sintético'!$A:$H,4,0)</f>
        <v>Cópia da AGETOP CIVIL (081761) - Grelha quadrada para ralo 15x15cm, em aço inox AISI 304, ref. 94535103, fab. Tramontina</v>
      </c>
      <c r="E420" s="112" t="str">
        <f>VLOOKUP(A420,'Orçamento Sintético'!$A:$H,5,0)</f>
        <v>un</v>
      </c>
      <c r="F420" s="124"/>
      <c r="G420" s="114"/>
      <c r="H420" s="114">
        <f>SUM(H421:H423)</f>
        <v>13.38</v>
      </c>
    </row>
    <row r="421" spans="1:8" ht="12.75">
      <c r="A421" s="115" t="str">
        <f>VLOOKUP(B421,'Insumos e Serviços'!$A:$F,3,0)</f>
        <v>Composição</v>
      </c>
      <c r="B421" s="116" t="s">
        <v>205</v>
      </c>
      <c r="C421" s="116" t="str">
        <f>VLOOKUP(B421,'Insumos e Serviços'!$A:$F,2,0)</f>
        <v>SINAPI</v>
      </c>
      <c r="D421" s="117" t="str">
        <f>VLOOKUP(B421,'Insumos e Serviços'!$A:$F,4,0)</f>
        <v>ENCANADOR OU BOMBEIRO HIDRÁULICO COM ENCARGOS COMPLEMENTARES</v>
      </c>
      <c r="E421" s="116" t="str">
        <f>VLOOKUP(B421,'Insumos e Serviços'!$A:$F,5,0)</f>
        <v>H</v>
      </c>
      <c r="F421" s="125">
        <v>0.08</v>
      </c>
      <c r="G421" s="118">
        <f>VLOOKUP(B421,'Insumos e Serviços'!$A:$F,6,0)</f>
        <v>24.48</v>
      </c>
      <c r="H421" s="118">
        <f>TRUNC(F421*G421,2)</f>
        <v>1.95</v>
      </c>
    </row>
    <row r="422" spans="1:8" ht="22.5">
      <c r="A422" s="115" t="str">
        <f>VLOOKUP(B422,'Insumos e Serviços'!$A:$F,3,0)</f>
        <v>Composição</v>
      </c>
      <c r="B422" s="116" t="s">
        <v>204</v>
      </c>
      <c r="C422" s="116" t="str">
        <f>VLOOKUP(B422,'Insumos e Serviços'!$A:$F,2,0)</f>
        <v>SINAPI</v>
      </c>
      <c r="D422" s="117" t="str">
        <f>VLOOKUP(B422,'Insumos e Serviços'!$A:$F,4,0)</f>
        <v>AUXILIAR DE ENCANADOR OU BOMBEIRO HIDRÁULICO COM ENCARGOS COMPLEMENTARES</v>
      </c>
      <c r="E422" s="116" t="str">
        <f>VLOOKUP(B422,'Insumos e Serviços'!$A:$F,5,0)</f>
        <v>H</v>
      </c>
      <c r="F422" s="125">
        <v>0.08</v>
      </c>
      <c r="G422" s="118">
        <f>VLOOKUP(B422,'Insumos e Serviços'!$A:$F,6,0)</f>
        <v>19.31</v>
      </c>
      <c r="H422" s="118">
        <f>TRUNC(F422*G422,2)</f>
        <v>1.54</v>
      </c>
    </row>
    <row r="423" spans="1:8" ht="23.25" thickBot="1">
      <c r="A423" s="115" t="str">
        <f>VLOOKUP(B423,'Insumos e Serviços'!$A:$F,3,0)</f>
        <v>Insumo</v>
      </c>
      <c r="B423" s="116" t="s">
        <v>467</v>
      </c>
      <c r="C423" s="116" t="str">
        <f>VLOOKUP(B423,'Insumos e Serviços'!$A:$F,2,0)</f>
        <v>Próprio</v>
      </c>
      <c r="D423" s="117" t="str">
        <f>VLOOKUP(B423,'Insumos e Serviços'!$A:$F,4,0)</f>
        <v>Grelha quadrada para ralo 15x15cm, em aço inox AISI 304, ref. 94535103, fab. Tramontina</v>
      </c>
      <c r="E423" s="116" t="str">
        <f>VLOOKUP(B423,'Insumos e Serviços'!$A:$F,5,0)</f>
        <v>un</v>
      </c>
      <c r="F423" s="125">
        <v>1</v>
      </c>
      <c r="G423" s="118">
        <f>VLOOKUP(B423,'Insumos e Serviços'!$A:$F,6,0)</f>
        <v>9.89</v>
      </c>
      <c r="H423" s="118">
        <f>TRUNC(F423*G423,2)</f>
        <v>9.89</v>
      </c>
    </row>
    <row r="424" spans="1:8" ht="13.5" thickTop="1">
      <c r="A424" s="119"/>
      <c r="B424" s="119"/>
      <c r="C424" s="119"/>
      <c r="D424" s="119"/>
      <c r="E424" s="119"/>
      <c r="F424" s="126"/>
      <c r="G424" s="119"/>
      <c r="H424" s="119"/>
    </row>
    <row r="425" spans="1:8" ht="22.5">
      <c r="A425" s="111" t="s">
        <v>848</v>
      </c>
      <c r="B425" s="112" t="str">
        <f>VLOOKUP(A425,'Orçamento Sintético'!$A:$H,2,0)</f>
        <v> MPDFT0912 </v>
      </c>
      <c r="C425" s="112" t="str">
        <f>VLOOKUP(A425,'Orçamento Sintético'!$A:$H,3,0)</f>
        <v>Próprio</v>
      </c>
      <c r="D425" s="113" t="str">
        <f>VLOOKUP(A425,'Orçamento Sintético'!$A:$H,4,0)</f>
        <v>Copia da SBC (190085) - Cabide para divisória, em inox escovado, linha Alcoplac Normatizado, Fab. Neocom</v>
      </c>
      <c r="E425" s="112" t="str">
        <f>VLOOKUP(A425,'Orçamento Sintético'!$A:$H,5,0)</f>
        <v>UN</v>
      </c>
      <c r="F425" s="124"/>
      <c r="G425" s="114"/>
      <c r="H425" s="114">
        <f>SUM(H426:H427)</f>
        <v>174.71</v>
      </c>
    </row>
    <row r="426" spans="1:8" ht="12.75">
      <c r="A426" s="115" t="str">
        <f>VLOOKUP(B426,'Insumos e Serviços'!$A:$F,3,0)</f>
        <v>Composição</v>
      </c>
      <c r="B426" s="116" t="s">
        <v>200</v>
      </c>
      <c r="C426" s="116" t="str">
        <f>VLOOKUP(B426,'Insumos e Serviços'!$A:$F,2,0)</f>
        <v>SINAPI</v>
      </c>
      <c r="D426" s="117" t="str">
        <f>VLOOKUP(B426,'Insumos e Serviços'!$A:$F,4,0)</f>
        <v>SERVENTE COM ENCARGOS COMPLEMENTARES</v>
      </c>
      <c r="E426" s="116" t="str">
        <f>VLOOKUP(B426,'Insumos e Serviços'!$A:$F,5,0)</f>
        <v>H</v>
      </c>
      <c r="F426" s="125">
        <v>0.439</v>
      </c>
      <c r="G426" s="118">
        <f>VLOOKUP(B426,'Insumos e Serviços'!$A:$F,6,0)</f>
        <v>18.65</v>
      </c>
      <c r="H426" s="118">
        <f>TRUNC(F426*G426,2)</f>
        <v>8.18</v>
      </c>
    </row>
    <row r="427" spans="1:8" ht="13.5" thickBot="1">
      <c r="A427" s="115" t="str">
        <f>VLOOKUP(B427,'Insumos e Serviços'!$A:$F,3,0)</f>
        <v>Insumo</v>
      </c>
      <c r="B427" s="116" t="s">
        <v>503</v>
      </c>
      <c r="C427" s="116" t="str">
        <f>VLOOKUP(B427,'Insumos e Serviços'!$A:$F,2,0)</f>
        <v>Próprio</v>
      </c>
      <c r="D427" s="117" t="str">
        <f>VLOOKUP(B427,'Insumos e Serviços'!$A:$F,4,0)</f>
        <v>Cabide para divisória, em inox escovado, linha Alcoplac Normatizado, Fab. Neocom</v>
      </c>
      <c r="E427" s="116" t="str">
        <f>VLOOKUP(B427,'Insumos e Serviços'!$A:$F,5,0)</f>
        <v>un</v>
      </c>
      <c r="F427" s="125">
        <v>1</v>
      </c>
      <c r="G427" s="118">
        <f>VLOOKUP(B427,'Insumos e Serviços'!$A:$F,6,0)</f>
        <v>166.53</v>
      </c>
      <c r="H427" s="118">
        <f>TRUNC(F427*G427,2)</f>
        <v>166.53</v>
      </c>
    </row>
    <row r="428" spans="1:8" ht="13.5" thickTop="1">
      <c r="A428" s="119"/>
      <c r="B428" s="119"/>
      <c r="C428" s="119"/>
      <c r="D428" s="119"/>
      <c r="E428" s="119"/>
      <c r="F428" s="126"/>
      <c r="G428" s="119"/>
      <c r="H428" s="119"/>
    </row>
    <row r="429" spans="1:8" ht="22.5">
      <c r="A429" s="111" t="s">
        <v>851</v>
      </c>
      <c r="B429" s="112" t="str">
        <f>VLOOKUP(A429,'Orçamento Sintético'!$A:$H,2,0)</f>
        <v> MPDFT0911 </v>
      </c>
      <c r="C429" s="112" t="str">
        <f>VLOOKUP(A429,'Orçamento Sintético'!$A:$H,3,0)</f>
        <v>Próprio</v>
      </c>
      <c r="D429" s="113" t="str">
        <f>VLOOKUP(A429,'Orçamento Sintético'!$A:$H,4,0)</f>
        <v>Copia da ORSE (1777) - Porta objetos em laminado melamínico (0,15 x 0,4 m), cor Polar L190, linha Alcoplac Normatizado, Fab. Neocom</v>
      </c>
      <c r="E429" s="112" t="str">
        <f>VLOOKUP(A429,'Orçamento Sintético'!$A:$H,5,0)</f>
        <v>un</v>
      </c>
      <c r="F429" s="124"/>
      <c r="G429" s="114"/>
      <c r="H429" s="114">
        <f>SUM(H430:H432)</f>
        <v>410.84000000000003</v>
      </c>
    </row>
    <row r="430" spans="1:8" ht="12.75">
      <c r="A430" s="115" t="str">
        <f>VLOOKUP(B430,'Insumos e Serviços'!$A:$F,3,0)</f>
        <v>Composição</v>
      </c>
      <c r="B430" s="116" t="s">
        <v>219</v>
      </c>
      <c r="C430" s="116" t="str">
        <f>VLOOKUP(B430,'Insumos e Serviços'!$A:$F,2,0)</f>
        <v>SINAPI</v>
      </c>
      <c r="D430" s="117" t="str">
        <f>VLOOKUP(B430,'Insumos e Serviços'!$A:$F,4,0)</f>
        <v>CARPINTEIRO DE FORMAS COM ENCARGOS COMPLEMENTARES</v>
      </c>
      <c r="E430" s="116" t="str">
        <f>VLOOKUP(B430,'Insumos e Serviços'!$A:$F,5,0)</f>
        <v>H</v>
      </c>
      <c r="F430" s="125">
        <v>0.1334</v>
      </c>
      <c r="G430" s="118">
        <f>VLOOKUP(B430,'Insumos e Serviços'!$A:$F,6,0)</f>
        <v>24.83</v>
      </c>
      <c r="H430" s="118">
        <f>TRUNC(F430*G430,2)</f>
        <v>3.31</v>
      </c>
    </row>
    <row r="431" spans="1:8" ht="12.75">
      <c r="A431" s="115" t="str">
        <f>VLOOKUP(B431,'Insumos e Serviços'!$A:$F,3,0)</f>
        <v>Composição</v>
      </c>
      <c r="B431" s="116" t="s">
        <v>200</v>
      </c>
      <c r="C431" s="116" t="str">
        <f>VLOOKUP(B431,'Insumos e Serviços'!$A:$F,2,0)</f>
        <v>SINAPI</v>
      </c>
      <c r="D431" s="117" t="str">
        <f>VLOOKUP(B431,'Insumos e Serviços'!$A:$F,4,0)</f>
        <v>SERVENTE COM ENCARGOS COMPLEMENTARES</v>
      </c>
      <c r="E431" s="116" t="str">
        <f>VLOOKUP(B431,'Insumos e Serviços'!$A:$F,5,0)</f>
        <v>H</v>
      </c>
      <c r="F431" s="125">
        <v>0.1334</v>
      </c>
      <c r="G431" s="118">
        <f>VLOOKUP(B431,'Insumos e Serviços'!$A:$F,6,0)</f>
        <v>18.65</v>
      </c>
      <c r="H431" s="118">
        <f>TRUNC(F431*G431,2)</f>
        <v>2.48</v>
      </c>
    </row>
    <row r="432" spans="1:8" ht="23.25" thickBot="1">
      <c r="A432" s="115" t="str">
        <f>VLOOKUP(B432,'Insumos e Serviços'!$A:$F,3,0)</f>
        <v>Insumo</v>
      </c>
      <c r="B432" s="116" t="s">
        <v>501</v>
      </c>
      <c r="C432" s="116" t="str">
        <f>VLOOKUP(B432,'Insumos e Serviços'!$A:$F,2,0)</f>
        <v>Próprio</v>
      </c>
      <c r="D432" s="117" t="str">
        <f>VLOOKUP(B432,'Insumos e Serviços'!$A:$F,4,0)</f>
        <v>Porta objetos em laminado melamínico (0,15 x 0,4 cm), cor Polar L190, linha Alcoplac Normatizado, Fab. Neocom</v>
      </c>
      <c r="E432" s="116" t="str">
        <f>VLOOKUP(B432,'Insumos e Serviços'!$A:$F,5,0)</f>
        <v>un</v>
      </c>
      <c r="F432" s="125">
        <v>1</v>
      </c>
      <c r="G432" s="118">
        <f>VLOOKUP(B432,'Insumos e Serviços'!$A:$F,6,0)</f>
        <v>405.05</v>
      </c>
      <c r="H432" s="118">
        <f>TRUNC(F432*G432,2)</f>
        <v>405.05</v>
      </c>
    </row>
    <row r="433" spans="1:8" ht="13.5" thickTop="1">
      <c r="A433" s="119"/>
      <c r="B433" s="119"/>
      <c r="C433" s="119"/>
      <c r="D433" s="119"/>
      <c r="E433" s="119"/>
      <c r="F433" s="126"/>
      <c r="G433" s="119"/>
      <c r="H433" s="119"/>
    </row>
    <row r="434" spans="1:8" ht="12.75">
      <c r="A434" s="108" t="s">
        <v>854</v>
      </c>
      <c r="B434" s="109"/>
      <c r="C434" s="109"/>
      <c r="D434" s="108" t="str">
        <f>VLOOKUP(A434,'Orçamento Sintético'!$A:$H,4,0)</f>
        <v>de cozinha, copa e lavanderia</v>
      </c>
      <c r="E434" s="109"/>
      <c r="F434" s="123"/>
      <c r="G434" s="108"/>
      <c r="H434" s="110"/>
    </row>
    <row r="435" spans="1:8" ht="33.75">
      <c r="A435" s="111" t="s">
        <v>856</v>
      </c>
      <c r="B435" s="112" t="str">
        <f>VLOOKUP(A435,'Orçamento Sintético'!$A:$H,2,0)</f>
        <v> MPDFT0263 </v>
      </c>
      <c r="C435" s="112" t="str">
        <f>VLOOKUP(A435,'Orçamento Sintético'!$A:$H,3,0)</f>
        <v>Próprio</v>
      </c>
      <c r="D435" s="113" t="str">
        <f>VLOOKUP(A435,'Orçamento Sintético'!$A:$H,4,0)</f>
        <v>Copia da SINAPI (86872) - Tanque de louça 40 litros com coluna e acessórios de metal, cor branco gelo GE17, cód. TQ.03 (tanque) e CT25 (coluna), fab. Deca - completo</v>
      </c>
      <c r="E435" s="112" t="str">
        <f>VLOOKUP(A435,'Orçamento Sintético'!$A:$H,5,0)</f>
        <v>un</v>
      </c>
      <c r="F435" s="124"/>
      <c r="G435" s="114"/>
      <c r="H435" s="114">
        <f>SUM(H436:H445)</f>
        <v>1170.74</v>
      </c>
    </row>
    <row r="436" spans="1:8" ht="12.75">
      <c r="A436" s="115" t="str">
        <f>VLOOKUP(B436,'Insumos e Serviços'!$A:$F,3,0)</f>
        <v>Composição</v>
      </c>
      <c r="B436" s="116" t="s">
        <v>205</v>
      </c>
      <c r="C436" s="116" t="str">
        <f>VLOOKUP(B436,'Insumos e Serviços'!$A:$F,2,0)</f>
        <v>SINAPI</v>
      </c>
      <c r="D436" s="117" t="str">
        <f>VLOOKUP(B436,'Insumos e Serviços'!$A:$F,4,0)</f>
        <v>ENCANADOR OU BOMBEIRO HIDRÁULICO COM ENCARGOS COMPLEMENTARES</v>
      </c>
      <c r="E436" s="116" t="str">
        <f>VLOOKUP(B436,'Insumos e Serviços'!$A:$F,5,0)</f>
        <v>H</v>
      </c>
      <c r="F436" s="125">
        <v>2.1799</v>
      </c>
      <c r="G436" s="118">
        <f>VLOOKUP(B436,'Insumos e Serviços'!$A:$F,6,0)</f>
        <v>24.48</v>
      </c>
      <c r="H436" s="118">
        <f aca="true" t="shared" si="18" ref="H436:H445">TRUNC(F436*G436,2)</f>
        <v>53.36</v>
      </c>
    </row>
    <row r="437" spans="1:8" ht="22.5">
      <c r="A437" s="115" t="str">
        <f>VLOOKUP(B437,'Insumos e Serviços'!$A:$F,3,0)</f>
        <v>Composição</v>
      </c>
      <c r="B437" s="116" t="s">
        <v>204</v>
      </c>
      <c r="C437" s="116" t="str">
        <f>VLOOKUP(B437,'Insumos e Serviços'!$A:$F,2,0)</f>
        <v>SINAPI</v>
      </c>
      <c r="D437" s="117" t="str">
        <f>VLOOKUP(B437,'Insumos e Serviços'!$A:$F,4,0)</f>
        <v>AUXILIAR DE ENCANADOR OU BOMBEIRO HIDRÁULICO COM ENCARGOS COMPLEMENTARES</v>
      </c>
      <c r="E437" s="116" t="str">
        <f>VLOOKUP(B437,'Insumos e Serviços'!$A:$F,5,0)</f>
        <v>H</v>
      </c>
      <c r="F437" s="125">
        <v>0.8406</v>
      </c>
      <c r="G437" s="118">
        <f>VLOOKUP(B437,'Insumos e Serviços'!$A:$F,6,0)</f>
        <v>19.31</v>
      </c>
      <c r="H437" s="118">
        <f t="shared" si="18"/>
        <v>16.23</v>
      </c>
    </row>
    <row r="438" spans="1:8" ht="12.75">
      <c r="A438" s="115" t="str">
        <f>VLOOKUP(B438,'Insumos e Serviços'!$A:$F,3,0)</f>
        <v>Insumo</v>
      </c>
      <c r="B438" s="116" t="s">
        <v>427</v>
      </c>
      <c r="C438" s="116" t="str">
        <f>VLOOKUP(B438,'Insumos e Serviços'!$A:$F,2,0)</f>
        <v>Próprio</v>
      </c>
      <c r="D438" s="117" t="str">
        <f>VLOOKUP(B438,'Insumos e Serviços'!$A:$F,4,0)</f>
        <v>Coluna de louça para tanque TQ 03 fab. Deca, código CT25</v>
      </c>
      <c r="E438" s="116" t="str">
        <f>VLOOKUP(B438,'Insumos e Serviços'!$A:$F,5,0)</f>
        <v>un</v>
      </c>
      <c r="F438" s="125">
        <v>1</v>
      </c>
      <c r="G438" s="118">
        <f>VLOOKUP(B438,'Insumos e Serviços'!$A:$F,6,0)</f>
        <v>100.23</v>
      </c>
      <c r="H438" s="118">
        <f t="shared" si="18"/>
        <v>100.23</v>
      </c>
    </row>
    <row r="439" spans="1:8" ht="12.75">
      <c r="A439" s="115" t="str">
        <f>VLOOKUP(B439,'Insumos e Serviços'!$A:$F,3,0)</f>
        <v>Insumo</v>
      </c>
      <c r="B439" s="116" t="s">
        <v>429</v>
      </c>
      <c r="C439" s="116" t="str">
        <f>VLOOKUP(B439,'Insumos e Serviços'!$A:$F,2,0)</f>
        <v>Próprio</v>
      </c>
      <c r="D439" s="117" t="str">
        <f>VLOOKUP(B439,'Insumos e Serviços'!$A:$F,4,0)</f>
        <v>Válvula de escoamento (sem ladrão), 1 ½”, ref. 1606 C, cromada, fab. Deca</v>
      </c>
      <c r="E439" s="116" t="str">
        <f>VLOOKUP(B439,'Insumos e Serviços'!$A:$F,5,0)</f>
        <v>un</v>
      </c>
      <c r="F439" s="125">
        <v>1</v>
      </c>
      <c r="G439" s="118">
        <f>VLOOKUP(B439,'Insumos e Serviços'!$A:$F,6,0)</f>
        <v>54.87</v>
      </c>
      <c r="H439" s="118">
        <f t="shared" si="18"/>
        <v>54.87</v>
      </c>
    </row>
    <row r="440" spans="1:8" ht="12.75">
      <c r="A440" s="115" t="str">
        <f>VLOOKUP(B440,'Insumos e Serviços'!$A:$F,3,0)</f>
        <v>Insumo</v>
      </c>
      <c r="B440" s="116" t="s">
        <v>1138</v>
      </c>
      <c r="C440" s="116" t="str">
        <f>VLOOKUP(B440,'Insumos e Serviços'!$A:$F,2,0)</f>
        <v>SINAPI</v>
      </c>
      <c r="D440" s="117" t="str">
        <f>VLOOKUP(B440,'Insumos e Serviços'!$A:$F,4,0)</f>
        <v>SIFAO PLASTICO EXTENSIVEL UNIVERSAL, TIPO COPO</v>
      </c>
      <c r="E440" s="116" t="str">
        <f>VLOOKUP(B440,'Insumos e Serviços'!$A:$F,5,0)</f>
        <v>UN</v>
      </c>
      <c r="F440" s="125">
        <v>1</v>
      </c>
      <c r="G440" s="118">
        <f>VLOOKUP(B440,'Insumos e Serviços'!$A:$F,6,0)</f>
        <v>12.32</v>
      </c>
      <c r="H440" s="118">
        <f t="shared" si="18"/>
        <v>12.32</v>
      </c>
    </row>
    <row r="441" spans="1:8" ht="22.5">
      <c r="A441" s="115" t="str">
        <f>VLOOKUP(B441,'Insumos e Serviços'!$A:$F,3,0)</f>
        <v>Insumo</v>
      </c>
      <c r="B441" s="116" t="s">
        <v>1114</v>
      </c>
      <c r="C441" s="116" t="str">
        <f>VLOOKUP(B441,'Insumos e Serviços'!$A:$F,2,0)</f>
        <v>SINAPI</v>
      </c>
      <c r="D441" s="117" t="str">
        <f>VLOOKUP(B441,'Insumos e Serviços'!$A:$F,4,0)</f>
        <v>PARAFUSO NIQUELADO COM ACABAMENTO CROMADO PARA FIXAR PECA SANITARIA, INCLUI PORCA CEGA, ARRUELA E BUCHA DE NYLON TAMANHO S-10</v>
      </c>
      <c r="E441" s="116" t="str">
        <f>VLOOKUP(B441,'Insumos e Serviços'!$A:$F,5,0)</f>
        <v>UN</v>
      </c>
      <c r="F441" s="125">
        <v>6</v>
      </c>
      <c r="G441" s="118">
        <f>VLOOKUP(B441,'Insumos e Serviços'!$A:$F,6,0)</f>
        <v>23.27</v>
      </c>
      <c r="H441" s="118">
        <f t="shared" si="18"/>
        <v>139.62</v>
      </c>
    </row>
    <row r="442" spans="1:8" ht="12.75">
      <c r="A442" s="115" t="str">
        <f>VLOOKUP(B442,'Insumos e Serviços'!$A:$F,3,0)</f>
        <v>Insumo</v>
      </c>
      <c r="B442" s="116" t="s">
        <v>1124</v>
      </c>
      <c r="C442" s="116" t="str">
        <f>VLOOKUP(B442,'Insumos e Serviços'!$A:$F,2,0)</f>
        <v>SINAPI</v>
      </c>
      <c r="D442" s="117" t="str">
        <f>VLOOKUP(B442,'Insumos e Serviços'!$A:$F,4,0)</f>
        <v>FITA VEDA ROSCA EM ROLOS DE 18 MM X 10 M (L X C)</v>
      </c>
      <c r="E442" s="116" t="str">
        <f>VLOOKUP(B442,'Insumos e Serviços'!$A:$F,5,0)</f>
        <v>UN</v>
      </c>
      <c r="F442" s="125">
        <v>0.1022</v>
      </c>
      <c r="G442" s="118">
        <f>VLOOKUP(B442,'Insumos e Serviços'!$A:$F,6,0)</f>
        <v>3.71</v>
      </c>
      <c r="H442" s="118">
        <f t="shared" si="18"/>
        <v>0.37</v>
      </c>
    </row>
    <row r="443" spans="1:8" ht="22.5">
      <c r="A443" s="115" t="str">
        <f>VLOOKUP(B443,'Insumos e Serviços'!$A:$F,3,0)</f>
        <v>Insumo</v>
      </c>
      <c r="B443" s="116" t="s">
        <v>425</v>
      </c>
      <c r="C443" s="116" t="str">
        <f>VLOOKUP(B443,'Insumos e Serviços'!$A:$F,2,0)</f>
        <v>Próprio</v>
      </c>
      <c r="D443" s="117" t="str">
        <f>VLOOKUP(B443,'Insumos e Serviços'!$A:$F,4,0)</f>
        <v>Tanque de louça 40 litros para coluna, cor branco; fabricação Deca, código TQ.03 (tanque) cor branco gelo GE17</v>
      </c>
      <c r="E443" s="116" t="str">
        <f>VLOOKUP(B443,'Insumos e Serviços'!$A:$F,5,0)</f>
        <v>un</v>
      </c>
      <c r="F443" s="125">
        <v>1</v>
      </c>
      <c r="G443" s="118">
        <f>VLOOKUP(B443,'Insumos e Serviços'!$A:$F,6,0)</f>
        <v>657.9</v>
      </c>
      <c r="H443" s="118">
        <f t="shared" si="18"/>
        <v>657.9</v>
      </c>
    </row>
    <row r="444" spans="1:8" ht="12.75">
      <c r="A444" s="115" t="str">
        <f>VLOOKUP(B444,'Insumos e Serviços'!$A:$F,3,0)</f>
        <v>Insumo</v>
      </c>
      <c r="B444" s="116" t="s">
        <v>1116</v>
      </c>
      <c r="C444" s="116" t="str">
        <f>VLOOKUP(B444,'Insumos e Serviços'!$A:$F,2,0)</f>
        <v>SINAPI</v>
      </c>
      <c r="D444" s="117" t="str">
        <f>VLOOKUP(B444,'Insumos e Serviços'!$A:$F,4,0)</f>
        <v>REJUNTE EPOXI, QUALQUER COR</v>
      </c>
      <c r="E444" s="116" t="str">
        <f>VLOOKUP(B444,'Insumos e Serviços'!$A:$F,5,0)</f>
        <v>KG</v>
      </c>
      <c r="F444" s="125">
        <v>0.0702</v>
      </c>
      <c r="G444" s="118">
        <f>VLOOKUP(B444,'Insumos e Serviços'!$A:$F,6,0)</f>
        <v>61.83</v>
      </c>
      <c r="H444" s="118">
        <f t="shared" si="18"/>
        <v>4.34</v>
      </c>
    </row>
    <row r="445" spans="1:8" ht="23.25" thickBot="1">
      <c r="A445" s="115" t="str">
        <f>VLOOKUP(B445,'Insumos e Serviços'!$A:$F,3,0)</f>
        <v>Insumo</v>
      </c>
      <c r="B445" s="116" t="s">
        <v>431</v>
      </c>
      <c r="C445" s="116" t="str">
        <f>VLOOKUP(B445,'Insumos e Serviços'!$A:$F,2,0)</f>
        <v>Próprio</v>
      </c>
      <c r="D445" s="117" t="str">
        <f>VLOOKUP(B445,'Insumos e Serviços'!$A:$F,4,0)</f>
        <v>Torneira de parede uso geral com arejador, metálica com acabamento cromado, fab. Deca, Linha Standard, código 1154.C39</v>
      </c>
      <c r="E445" s="116" t="str">
        <f>VLOOKUP(B445,'Insumos e Serviços'!$A:$F,5,0)</f>
        <v>un</v>
      </c>
      <c r="F445" s="125">
        <v>1</v>
      </c>
      <c r="G445" s="118">
        <f>VLOOKUP(B445,'Insumos e Serviços'!$A:$F,6,0)</f>
        <v>131.5</v>
      </c>
      <c r="H445" s="118">
        <f t="shared" si="18"/>
        <v>131.5</v>
      </c>
    </row>
    <row r="446" spans="1:8" ht="13.5" thickTop="1">
      <c r="A446" s="119"/>
      <c r="B446" s="119"/>
      <c r="C446" s="119"/>
      <c r="D446" s="119"/>
      <c r="E446" s="119"/>
      <c r="F446" s="126"/>
      <c r="G446" s="119"/>
      <c r="H446" s="119"/>
    </row>
    <row r="447" spans="1:8" ht="33.75">
      <c r="A447" s="111" t="s">
        <v>859</v>
      </c>
      <c r="B447" s="112" t="str">
        <f>VLOOKUP(A447,'Orçamento Sintético'!$A:$H,2,0)</f>
        <v> MPDFT0356 </v>
      </c>
      <c r="C447" s="112" t="str">
        <f>VLOOKUP(A447,'Orçamento Sintético'!$A:$H,3,0)</f>
        <v>Próprio</v>
      </c>
      <c r="D447" s="113" t="str">
        <f>VLOOKUP(A447,'Orçamento Sintético'!$A:$H,4,0)</f>
        <v>Copia da SINAPI (86900) - Cuba de aço inox, DM 34x56x17 cm, linha Prime, mod. Retangular BL, ref. 94024206, fab. Tramontina, inclusive furo e colagem</v>
      </c>
      <c r="E447" s="112" t="str">
        <f>VLOOKUP(A447,'Orçamento Sintético'!$A:$H,5,0)</f>
        <v>UN</v>
      </c>
      <c r="F447" s="124"/>
      <c r="G447" s="114"/>
      <c r="H447" s="114">
        <f>SUM(H448:H452)</f>
        <v>447.06999999999994</v>
      </c>
    </row>
    <row r="448" spans="1:8" ht="12.75">
      <c r="A448" s="115" t="str">
        <f>VLOOKUP(B448,'Insumos e Serviços'!$A:$F,3,0)</f>
        <v>Composição</v>
      </c>
      <c r="B448" s="116" t="s">
        <v>232</v>
      </c>
      <c r="C448" s="116" t="str">
        <f>VLOOKUP(B448,'Insumos e Serviços'!$A:$F,2,0)</f>
        <v>SINAPI</v>
      </c>
      <c r="D448" s="117" t="str">
        <f>VLOOKUP(B448,'Insumos e Serviços'!$A:$F,4,0)</f>
        <v>MARMORISTA/GRANITEIRO COM ENCARGOS COMPLEMENTARES</v>
      </c>
      <c r="E448" s="116" t="str">
        <f>VLOOKUP(B448,'Insumos e Serviços'!$A:$F,5,0)</f>
        <v>H</v>
      </c>
      <c r="F448" s="125">
        <v>0.48</v>
      </c>
      <c r="G448" s="118">
        <f>VLOOKUP(B448,'Insumos e Serviços'!$A:$F,6,0)</f>
        <v>25</v>
      </c>
      <c r="H448" s="118">
        <f>TRUNC(F448*G448,2)</f>
        <v>12</v>
      </c>
    </row>
    <row r="449" spans="1:8" ht="12.75">
      <c r="A449" s="115" t="str">
        <f>VLOOKUP(B449,'Insumos e Serviços'!$A:$F,3,0)</f>
        <v>Composição</v>
      </c>
      <c r="B449" s="116" t="s">
        <v>200</v>
      </c>
      <c r="C449" s="116" t="str">
        <f>VLOOKUP(B449,'Insumos e Serviços'!$A:$F,2,0)</f>
        <v>SINAPI</v>
      </c>
      <c r="D449" s="117" t="str">
        <f>VLOOKUP(B449,'Insumos e Serviços'!$A:$F,4,0)</f>
        <v>SERVENTE COM ENCARGOS COMPLEMENTARES</v>
      </c>
      <c r="E449" s="116" t="str">
        <f>VLOOKUP(B449,'Insumos e Serviços'!$A:$F,5,0)</f>
        <v>H</v>
      </c>
      <c r="F449" s="125">
        <v>0.15</v>
      </c>
      <c r="G449" s="118">
        <f>VLOOKUP(B449,'Insumos e Serviços'!$A:$F,6,0)</f>
        <v>18.65</v>
      </c>
      <c r="H449" s="118">
        <f>TRUNC(F449*G449,2)</f>
        <v>2.79</v>
      </c>
    </row>
    <row r="450" spans="1:8" ht="12.75">
      <c r="A450" s="115" t="str">
        <f>VLOOKUP(B450,'Insumos e Serviços'!$A:$F,3,0)</f>
        <v>Insumo</v>
      </c>
      <c r="B450" s="116" t="s">
        <v>1132</v>
      </c>
      <c r="C450" s="116" t="str">
        <f>VLOOKUP(B450,'Insumos e Serviços'!$A:$F,2,0)</f>
        <v>SINAPI</v>
      </c>
      <c r="D450" s="117" t="str">
        <f>VLOOKUP(B450,'Insumos e Serviços'!$A:$F,4,0)</f>
        <v>MASSA PLASTICA PARA MARMORE/GRANITO</v>
      </c>
      <c r="E450" s="116" t="str">
        <f>VLOOKUP(B450,'Insumos e Serviços'!$A:$F,5,0)</f>
        <v>KG</v>
      </c>
      <c r="F450" s="125">
        <v>0.2974</v>
      </c>
      <c r="G450" s="118">
        <f>VLOOKUP(B450,'Insumos e Serviços'!$A:$F,6,0)</f>
        <v>37.37</v>
      </c>
      <c r="H450" s="118">
        <f>TRUNC(F450*G450,2)</f>
        <v>11.11</v>
      </c>
    </row>
    <row r="451" spans="1:8" ht="22.5">
      <c r="A451" s="115" t="str">
        <f>VLOOKUP(B451,'Insumos e Serviços'!$A:$F,3,0)</f>
        <v>Insumo</v>
      </c>
      <c r="B451" s="116" t="s">
        <v>421</v>
      </c>
      <c r="C451" s="116" t="str">
        <f>VLOOKUP(B451,'Insumos e Serviços'!$A:$F,2,0)</f>
        <v>Próprio</v>
      </c>
      <c r="D451" s="117" t="str">
        <f>VLOOKUP(B451,'Insumos e Serviços'!$A:$F,4,0)</f>
        <v>Cuba de aço inox, DM 34x56x17 cm, linha Prime, mod. Retangular BL, ref. 94024206, fab. Tramontina</v>
      </c>
      <c r="E451" s="116" t="str">
        <f>VLOOKUP(B451,'Insumos e Serviços'!$A:$F,5,0)</f>
        <v>un</v>
      </c>
      <c r="F451" s="125">
        <v>1</v>
      </c>
      <c r="G451" s="118">
        <f>VLOOKUP(B451,'Insumos e Serviços'!$A:$F,6,0)</f>
        <v>297.57</v>
      </c>
      <c r="H451" s="118">
        <f>TRUNC(F451*G451,2)</f>
        <v>297.57</v>
      </c>
    </row>
    <row r="452" spans="1:8" ht="23.25" thickBot="1">
      <c r="A452" s="115" t="str">
        <f>VLOOKUP(B452,'Insumos e Serviços'!$A:$F,3,0)</f>
        <v>Insumo</v>
      </c>
      <c r="B452" s="116" t="s">
        <v>1140</v>
      </c>
      <c r="C452" s="116" t="str">
        <f>VLOOKUP(B452,'Insumos e Serviços'!$A:$F,2,0)</f>
        <v>SINAPI</v>
      </c>
      <c r="D452" s="117" t="str">
        <f>VLOOKUP(B452,'Insumos e Serviços'!$A:$F,4,0)</f>
        <v>ABERTURA PARA ENCAIXE DE CUBA OU LAVATORIO EM BANCADA DE MARMORE/ GRANITO OU OUTRO TIPO DE PEDRA NATURAL</v>
      </c>
      <c r="E452" s="116" t="str">
        <f>VLOOKUP(B452,'Insumos e Serviços'!$A:$F,5,0)</f>
        <v>UN</v>
      </c>
      <c r="F452" s="125">
        <v>1</v>
      </c>
      <c r="G452" s="118">
        <f>VLOOKUP(B452,'Insumos e Serviços'!$A:$F,6,0)</f>
        <v>123.6</v>
      </c>
      <c r="H452" s="118">
        <f>TRUNC(F452*G452,2)</f>
        <v>123.6</v>
      </c>
    </row>
    <row r="453" spans="1:8" ht="13.5" thickTop="1">
      <c r="A453" s="119"/>
      <c r="B453" s="119"/>
      <c r="C453" s="119"/>
      <c r="D453" s="119"/>
      <c r="E453" s="119"/>
      <c r="F453" s="126"/>
      <c r="G453" s="119"/>
      <c r="H453" s="119"/>
    </row>
    <row r="454" spans="1:8" ht="12.75">
      <c r="A454" s="111" t="s">
        <v>862</v>
      </c>
      <c r="B454" s="112" t="str">
        <f>VLOOKUP(A454,'Orçamento Sintético'!$A:$H,2,0)</f>
        <v> MPDFT0357 </v>
      </c>
      <c r="C454" s="112" t="str">
        <f>VLOOKUP(A454,'Orçamento Sintético'!$A:$H,3,0)</f>
        <v>Próprio</v>
      </c>
      <c r="D454" s="113" t="str">
        <f>VLOOKUP(A454,'Orçamento Sintético'!$A:$H,4,0)</f>
        <v>Conjunto de metais para pia com cuba inox, inclusive torneira</v>
      </c>
      <c r="E454" s="112" t="str">
        <f>VLOOKUP(A454,'Orçamento Sintético'!$A:$H,5,0)</f>
        <v>cj</v>
      </c>
      <c r="F454" s="124"/>
      <c r="G454" s="114"/>
      <c r="H454" s="114">
        <f>SUM(H455:H462)</f>
        <v>631.91</v>
      </c>
    </row>
    <row r="455" spans="1:8" ht="12.75">
      <c r="A455" s="115" t="str">
        <f>VLOOKUP(B455,'Insumos e Serviços'!$A:$F,3,0)</f>
        <v>Composição</v>
      </c>
      <c r="B455" s="116" t="s">
        <v>205</v>
      </c>
      <c r="C455" s="116" t="str">
        <f>VLOOKUP(B455,'Insumos e Serviços'!$A:$F,2,0)</f>
        <v>SINAPI</v>
      </c>
      <c r="D455" s="117" t="str">
        <f>VLOOKUP(B455,'Insumos e Serviços'!$A:$F,4,0)</f>
        <v>ENCANADOR OU BOMBEIRO HIDRÁULICO COM ENCARGOS COMPLEMENTARES</v>
      </c>
      <c r="E455" s="116" t="str">
        <f>VLOOKUP(B455,'Insumos e Serviços'!$A:$F,5,0)</f>
        <v>H</v>
      </c>
      <c r="F455" s="125">
        <v>0.7666</v>
      </c>
      <c r="G455" s="118">
        <f>VLOOKUP(B455,'Insumos e Serviços'!$A:$F,6,0)</f>
        <v>24.48</v>
      </c>
      <c r="H455" s="118">
        <f aca="true" t="shared" si="19" ref="H455:H462">TRUNC(F455*G455,2)</f>
        <v>18.76</v>
      </c>
    </row>
    <row r="456" spans="1:8" ht="12.75">
      <c r="A456" s="115" t="str">
        <f>VLOOKUP(B456,'Insumos e Serviços'!$A:$F,3,0)</f>
        <v>Composição</v>
      </c>
      <c r="B456" s="116" t="s">
        <v>200</v>
      </c>
      <c r="C456" s="116" t="str">
        <f>VLOOKUP(B456,'Insumos e Serviços'!$A:$F,2,0)</f>
        <v>SINAPI</v>
      </c>
      <c r="D456" s="117" t="str">
        <f>VLOOKUP(B456,'Insumos e Serviços'!$A:$F,4,0)</f>
        <v>SERVENTE COM ENCARGOS COMPLEMENTARES</v>
      </c>
      <c r="E456" s="116" t="str">
        <f>VLOOKUP(B456,'Insumos e Serviços'!$A:$F,5,0)</f>
        <v>H</v>
      </c>
      <c r="F456" s="125">
        <v>0.2416</v>
      </c>
      <c r="G456" s="118">
        <f>VLOOKUP(B456,'Insumos e Serviços'!$A:$F,6,0)</f>
        <v>18.65</v>
      </c>
      <c r="H456" s="118">
        <f t="shared" si="19"/>
        <v>4.5</v>
      </c>
    </row>
    <row r="457" spans="1:8" ht="12.75">
      <c r="A457" s="115" t="str">
        <f>VLOOKUP(B457,'Insumos e Serviços'!$A:$F,3,0)</f>
        <v>Insumo</v>
      </c>
      <c r="B457" s="116" t="s">
        <v>1124</v>
      </c>
      <c r="C457" s="116" t="str">
        <f>VLOOKUP(B457,'Insumos e Serviços'!$A:$F,2,0)</f>
        <v>SINAPI</v>
      </c>
      <c r="D457" s="117" t="str">
        <f>VLOOKUP(B457,'Insumos e Serviços'!$A:$F,4,0)</f>
        <v>FITA VEDA ROSCA EM ROLOS DE 18 MM X 10 M (L X C)</v>
      </c>
      <c r="E457" s="116" t="str">
        <f>VLOOKUP(B457,'Insumos e Serviços'!$A:$F,5,0)</f>
        <v>UN</v>
      </c>
      <c r="F457" s="125">
        <v>0.1232</v>
      </c>
      <c r="G457" s="118">
        <f>VLOOKUP(B457,'Insumos e Serviços'!$A:$F,6,0)</f>
        <v>3.71</v>
      </c>
      <c r="H457" s="118">
        <f t="shared" si="19"/>
        <v>0.45</v>
      </c>
    </row>
    <row r="458" spans="1:8" ht="22.5">
      <c r="A458" s="115" t="str">
        <f>VLOOKUP(B458,'Insumos e Serviços'!$A:$F,3,0)</f>
        <v>Insumo</v>
      </c>
      <c r="B458" s="116" t="s">
        <v>453</v>
      </c>
      <c r="C458" s="116" t="str">
        <f>VLOOKUP(B458,'Insumos e Serviços'!$A:$F,2,0)</f>
        <v>Próprio</v>
      </c>
      <c r="D458" s="117" t="str">
        <f>VLOOKUP(B458,'Insumos e Serviços'!$A:$F,4,0)</f>
        <v>Torneira para cozinha de mesa, bica móvel com arejador, cromada, altura total 289 mm, linha Fast, cód. 1167.C59, fab. Deca</v>
      </c>
      <c r="E458" s="116" t="str">
        <f>VLOOKUP(B458,'Insumos e Serviços'!$A:$F,5,0)</f>
        <v>un</v>
      </c>
      <c r="F458" s="125">
        <v>1</v>
      </c>
      <c r="G458" s="118">
        <f>VLOOKUP(B458,'Insumos e Serviços'!$A:$F,6,0)</f>
        <v>415.47</v>
      </c>
      <c r="H458" s="118">
        <f t="shared" si="19"/>
        <v>415.47</v>
      </c>
    </row>
    <row r="459" spans="1:8" ht="12.75">
      <c r="A459" s="115" t="str">
        <f>VLOOKUP(B459,'Insumos e Serviços'!$A:$F,3,0)</f>
        <v>Insumo</v>
      </c>
      <c r="B459" s="116" t="s">
        <v>413</v>
      </c>
      <c r="C459" s="116" t="str">
        <f>VLOOKUP(B459,'Insumos e Serviços'!$A:$F,2,0)</f>
        <v>Próprio</v>
      </c>
      <c r="D459" s="117" t="str">
        <f>VLOOKUP(B459,'Insumos e Serviços'!$A:$F,4,0)</f>
        <v>Ligação flexível de malha de aço 50cm, ref. 4607C 050, fab. Deca</v>
      </c>
      <c r="E459" s="116" t="str">
        <f>VLOOKUP(B459,'Insumos e Serviços'!$A:$F,5,0)</f>
        <v>un</v>
      </c>
      <c r="F459" s="125">
        <v>1</v>
      </c>
      <c r="G459" s="118">
        <f>VLOOKUP(B459,'Insumos e Serviços'!$A:$F,6,0)</f>
        <v>59.81</v>
      </c>
      <c r="H459" s="118">
        <f t="shared" si="19"/>
        <v>59.81</v>
      </c>
    </row>
    <row r="460" spans="1:8" ht="12.75">
      <c r="A460" s="115" t="str">
        <f>VLOOKUP(B460,'Insumos e Serviços'!$A:$F,3,0)</f>
        <v>Insumo</v>
      </c>
      <c r="B460" s="116" t="s">
        <v>423</v>
      </c>
      <c r="C460" s="116" t="str">
        <f>VLOOKUP(B460,'Insumos e Serviços'!$A:$F,2,0)</f>
        <v>Próprio</v>
      </c>
      <c r="D460" s="117" t="str">
        <f>VLOOKUP(B460,'Insumos e Serviços'!$A:$F,4,0)</f>
        <v>Sifão simples com polipropileno com fecho hídrico, ref. 94525000 , fab. Tramontina</v>
      </c>
      <c r="E460" s="116" t="str">
        <f>VLOOKUP(B460,'Insumos e Serviços'!$A:$F,5,0)</f>
        <v>un</v>
      </c>
      <c r="F460" s="125">
        <v>1</v>
      </c>
      <c r="G460" s="118">
        <f>VLOOKUP(B460,'Insumos e Serviços'!$A:$F,6,0)</f>
        <v>58.49</v>
      </c>
      <c r="H460" s="118">
        <f t="shared" si="19"/>
        <v>58.49</v>
      </c>
    </row>
    <row r="461" spans="1:8" ht="22.5">
      <c r="A461" s="115" t="str">
        <f>VLOOKUP(B461,'Insumos e Serviços'!$A:$F,3,0)</f>
        <v>Insumo</v>
      </c>
      <c r="B461" s="116" t="s">
        <v>1142</v>
      </c>
      <c r="C461" s="116" t="str">
        <f>VLOOKUP(B461,'Insumos e Serviços'!$A:$F,2,0)</f>
        <v>SINAPI</v>
      </c>
      <c r="D461" s="117" t="str">
        <f>VLOOKUP(B461,'Insumos e Serviços'!$A:$F,4,0)</f>
        <v>FURO PARA TORNEIRA OU OUTROS ACESSORIOS  EM BANCADA DE MARMORE/ GRANITO OU OUTRO TIPO DE PEDRA NATURAL</v>
      </c>
      <c r="E461" s="116" t="str">
        <f>VLOOKUP(B461,'Insumos e Serviços'!$A:$F,5,0)</f>
        <v>UN</v>
      </c>
      <c r="F461" s="125">
        <v>1</v>
      </c>
      <c r="G461" s="118">
        <f>VLOOKUP(B461,'Insumos e Serviços'!$A:$F,6,0)</f>
        <v>18.54</v>
      </c>
      <c r="H461" s="118">
        <f t="shared" si="19"/>
        <v>18.54</v>
      </c>
    </row>
    <row r="462" spans="1:8" ht="13.5" thickBot="1">
      <c r="A462" s="115" t="str">
        <f>VLOOKUP(B462,'Insumos e Serviços'!$A:$F,3,0)</f>
        <v>Insumo</v>
      </c>
      <c r="B462" s="116" t="s">
        <v>1144</v>
      </c>
      <c r="C462" s="116" t="str">
        <f>VLOOKUP(B462,'Insumos e Serviços'!$A:$F,2,0)</f>
        <v>SINAPI</v>
      </c>
      <c r="D462" s="117" t="str">
        <f>VLOOKUP(B462,'Insumos e Serviços'!$A:$F,4,0)</f>
        <v>VALVULA EM METAL CROMADO PARA PIA AMERICANA 3.1/2 X 1.1/2 "</v>
      </c>
      <c r="E462" s="116" t="str">
        <f>VLOOKUP(B462,'Insumos e Serviços'!$A:$F,5,0)</f>
        <v>UN</v>
      </c>
      <c r="F462" s="125">
        <v>1</v>
      </c>
      <c r="G462" s="118">
        <f>VLOOKUP(B462,'Insumos e Serviços'!$A:$F,6,0)</f>
        <v>55.89</v>
      </c>
      <c r="H462" s="118">
        <f t="shared" si="19"/>
        <v>55.89</v>
      </c>
    </row>
    <row r="463" spans="1:8" ht="13.5" thickTop="1">
      <c r="A463" s="119"/>
      <c r="B463" s="119"/>
      <c r="C463" s="119"/>
      <c r="D463" s="119"/>
      <c r="E463" s="119"/>
      <c r="F463" s="126"/>
      <c r="G463" s="119"/>
      <c r="H463" s="119"/>
    </row>
    <row r="464" spans="1:8" ht="22.5">
      <c r="A464" s="111" t="s">
        <v>865</v>
      </c>
      <c r="B464" s="112" t="str">
        <f>VLOOKUP(A464,'Orçamento Sintético'!$A:$H,2,0)</f>
        <v> MPDFT0909 </v>
      </c>
      <c r="C464" s="112" t="str">
        <f>VLOOKUP(A464,'Orçamento Sintético'!$A:$H,3,0)</f>
        <v>Próprio</v>
      </c>
      <c r="D464" s="113" t="str">
        <f>VLOOKUP(A464,'Orçamento Sintético'!$A:$H,4,0)</f>
        <v>Copia da SINAPI (86895) -  Bancada para copa/ refeitório em granito Preto São Gabriel, largura 0,55m, com saia e rodabanca, inclusive mão francesa</v>
      </c>
      <c r="E464" s="112" t="str">
        <f>VLOOKUP(A464,'Orçamento Sintético'!$A:$H,5,0)</f>
        <v>m</v>
      </c>
      <c r="F464" s="124"/>
      <c r="G464" s="114"/>
      <c r="H464" s="114">
        <f>SUM(H465:H473)</f>
        <v>526.36</v>
      </c>
    </row>
    <row r="465" spans="1:8" ht="12.75">
      <c r="A465" s="115" t="str">
        <f>VLOOKUP(B465,'Insumos e Serviços'!$A:$F,3,0)</f>
        <v>Composição</v>
      </c>
      <c r="B465" s="116" t="s">
        <v>232</v>
      </c>
      <c r="C465" s="116" t="str">
        <f>VLOOKUP(B465,'Insumos e Serviços'!$A:$F,2,0)</f>
        <v>SINAPI</v>
      </c>
      <c r="D465" s="117" t="str">
        <f>VLOOKUP(B465,'Insumos e Serviços'!$A:$F,4,0)</f>
        <v>MARMORISTA/GRANITEIRO COM ENCARGOS COMPLEMENTARES</v>
      </c>
      <c r="E465" s="116" t="str">
        <f>VLOOKUP(B465,'Insumos e Serviços'!$A:$F,5,0)</f>
        <v>H</v>
      </c>
      <c r="F465" s="125">
        <v>1.9209</v>
      </c>
      <c r="G465" s="118">
        <f>VLOOKUP(B465,'Insumos e Serviços'!$A:$F,6,0)</f>
        <v>25</v>
      </c>
      <c r="H465" s="118">
        <f aca="true" t="shared" si="20" ref="H465:H473">TRUNC(F465*G465,2)</f>
        <v>48.02</v>
      </c>
    </row>
    <row r="466" spans="1:8" ht="12.75">
      <c r="A466" s="115" t="str">
        <f>VLOOKUP(B466,'Insumos e Serviços'!$A:$F,3,0)</f>
        <v>Composição</v>
      </c>
      <c r="B466" s="116" t="s">
        <v>200</v>
      </c>
      <c r="C466" s="116" t="str">
        <f>VLOOKUP(B466,'Insumos e Serviços'!$A:$F,2,0)</f>
        <v>SINAPI</v>
      </c>
      <c r="D466" s="117" t="str">
        <f>VLOOKUP(B466,'Insumos e Serviços'!$A:$F,4,0)</f>
        <v>SERVENTE COM ENCARGOS COMPLEMENTARES</v>
      </c>
      <c r="E466" s="116" t="str">
        <f>VLOOKUP(B466,'Insumos e Serviços'!$A:$F,5,0)</f>
        <v>H</v>
      </c>
      <c r="F466" s="125">
        <v>0.9811</v>
      </c>
      <c r="G466" s="118">
        <f>VLOOKUP(B466,'Insumos e Serviços'!$A:$F,6,0)</f>
        <v>18.65</v>
      </c>
      <c r="H466" s="118">
        <f t="shared" si="20"/>
        <v>18.29</v>
      </c>
    </row>
    <row r="467" spans="1:8" ht="12.75">
      <c r="A467" s="115" t="str">
        <f>VLOOKUP(B467,'Insumos e Serviços'!$A:$F,3,0)</f>
        <v>Composição</v>
      </c>
      <c r="B467" s="116" t="s">
        <v>229</v>
      </c>
      <c r="C467" s="116" t="str">
        <f>VLOOKUP(B467,'Insumos e Serviços'!$A:$F,2,0)</f>
        <v>SINAPI</v>
      </c>
      <c r="D467" s="117" t="str">
        <f>VLOOKUP(B467,'Insumos e Serviços'!$A:$F,4,0)</f>
        <v>IMPERMEABILIZADOR COM ENCARGOS COMPLEMENTARES</v>
      </c>
      <c r="E467" s="116" t="str">
        <f>VLOOKUP(B467,'Insumos e Serviços'!$A:$F,5,0)</f>
        <v>H</v>
      </c>
      <c r="F467" s="125">
        <v>0.06</v>
      </c>
      <c r="G467" s="118">
        <f>VLOOKUP(B467,'Insumos e Serviços'!$A:$F,6,0)</f>
        <v>25.09</v>
      </c>
      <c r="H467" s="118">
        <f t="shared" si="20"/>
        <v>1.5</v>
      </c>
    </row>
    <row r="468" spans="1:8" ht="12.75">
      <c r="A468" s="115" t="str">
        <f>VLOOKUP(B468,'Insumos e Serviços'!$A:$F,3,0)</f>
        <v>Insumo</v>
      </c>
      <c r="B468" s="116" t="s">
        <v>1132</v>
      </c>
      <c r="C468" s="116" t="str">
        <f>VLOOKUP(B468,'Insumos e Serviços'!$A:$F,2,0)</f>
        <v>SINAPI</v>
      </c>
      <c r="D468" s="117" t="str">
        <f>VLOOKUP(B468,'Insumos e Serviços'!$A:$F,4,0)</f>
        <v>MASSA PLASTICA PARA MARMORE/GRANITO</v>
      </c>
      <c r="E468" s="116" t="str">
        <f>VLOOKUP(B468,'Insumos e Serviços'!$A:$F,5,0)</f>
        <v>KG</v>
      </c>
      <c r="F468" s="125">
        <v>0.5205</v>
      </c>
      <c r="G468" s="118">
        <f>VLOOKUP(B468,'Insumos e Serviços'!$A:$F,6,0)</f>
        <v>37.37</v>
      </c>
      <c r="H468" s="118">
        <f t="shared" si="20"/>
        <v>19.45</v>
      </c>
    </row>
    <row r="469" spans="1:8" ht="22.5">
      <c r="A469" s="115" t="str">
        <f>VLOOKUP(B469,'Insumos e Serviços'!$A:$F,3,0)</f>
        <v>Insumo</v>
      </c>
      <c r="B469" s="116" t="s">
        <v>239</v>
      </c>
      <c r="C469" s="116" t="str">
        <f>VLOOKUP(B469,'Insumos e Serviços'!$A:$F,2,0)</f>
        <v>SINAPI</v>
      </c>
      <c r="D469" s="117" t="str">
        <f>VLOOKUP(B469,'Insumos e Serviços'!$A:$F,4,0)</f>
        <v>BUCHA DE NYLON SEM ABA S10, COM PARAFUSO DE 6,10 X 65 MM EM ACO ZINCADO COM ROSCA SOBERBA, CABECA CHATA E FENDA PHILLIPS</v>
      </c>
      <c r="E469" s="116" t="str">
        <f>VLOOKUP(B469,'Insumos e Serviços'!$A:$F,5,0)</f>
        <v>UN</v>
      </c>
      <c r="F469" s="125">
        <v>6</v>
      </c>
      <c r="G469" s="118">
        <f>VLOOKUP(B469,'Insumos e Serviços'!$A:$F,6,0)</f>
        <v>0.92</v>
      </c>
      <c r="H469" s="118">
        <f t="shared" si="20"/>
        <v>5.52</v>
      </c>
    </row>
    <row r="470" spans="1:8" ht="22.5">
      <c r="A470" s="115" t="str">
        <f>VLOOKUP(B470,'Insumos e Serviços'!$A:$F,3,0)</f>
        <v>Insumo</v>
      </c>
      <c r="B470" s="116" t="s">
        <v>1134</v>
      </c>
      <c r="C470" s="116" t="str">
        <f>VLOOKUP(B470,'Insumos e Serviços'!$A:$F,2,0)</f>
        <v>SINAPI</v>
      </c>
      <c r="D470" s="117" t="str">
        <f>VLOOKUP(B470,'Insumos e Serviços'!$A:$F,4,0)</f>
        <v>GRANITO PARA BANCADA, POLIDO, TIPO ANDORINHA/ QUARTZ/ CASTELO/ CORUMBA OU OUTROS EQUIVALENTES DA REGIAO, E=  *2,5* CM</v>
      </c>
      <c r="E470" s="116" t="str">
        <f>VLOOKUP(B470,'Insumos e Serviços'!$A:$F,5,0)</f>
        <v>m²</v>
      </c>
      <c r="F470" s="125">
        <v>0.75</v>
      </c>
      <c r="G470" s="118">
        <f>VLOOKUP(B470,'Insumos e Serviços'!$A:$F,6,0)</f>
        <v>472.45</v>
      </c>
      <c r="H470" s="118">
        <f t="shared" si="20"/>
        <v>354.33</v>
      </c>
    </row>
    <row r="471" spans="1:8" ht="12.75">
      <c r="A471" s="115" t="str">
        <f>VLOOKUP(B471,'Insumos e Serviços'!$A:$F,3,0)</f>
        <v>Insumo</v>
      </c>
      <c r="B471" s="116" t="s">
        <v>1116</v>
      </c>
      <c r="C471" s="116" t="str">
        <f>VLOOKUP(B471,'Insumos e Serviços'!$A:$F,2,0)</f>
        <v>SINAPI</v>
      </c>
      <c r="D471" s="117" t="str">
        <f>VLOOKUP(B471,'Insumos e Serviços'!$A:$F,4,0)</f>
        <v>REJUNTE EPOXI, QUALQUER COR</v>
      </c>
      <c r="E471" s="116" t="str">
        <f>VLOOKUP(B471,'Insumos e Serviços'!$A:$F,5,0)</f>
        <v>KG</v>
      </c>
      <c r="F471" s="125">
        <v>0.0218</v>
      </c>
      <c r="G471" s="118">
        <f>VLOOKUP(B471,'Insumos e Serviços'!$A:$F,6,0)</f>
        <v>61.83</v>
      </c>
      <c r="H471" s="118">
        <f t="shared" si="20"/>
        <v>1.34</v>
      </c>
    </row>
    <row r="472" spans="1:8" ht="22.5">
      <c r="A472" s="115" t="str">
        <f>VLOOKUP(B472,'Insumos e Serviços'!$A:$F,3,0)</f>
        <v>Insumo</v>
      </c>
      <c r="B472" s="116" t="s">
        <v>1146</v>
      </c>
      <c r="C472" s="116" t="str">
        <f>VLOOKUP(B472,'Insumos e Serviços'!$A:$F,2,0)</f>
        <v>SINAPI</v>
      </c>
      <c r="D472" s="117" t="str">
        <f>VLOOKUP(B472,'Insumos e Serviços'!$A:$F,4,0)</f>
        <v>SUPORTE MAO-FRANCESA EM ACO, ABAS IGUAIS 40 CM, CAPACIDADE MINIMA 70 KG, BRANCO</v>
      </c>
      <c r="E472" s="116" t="str">
        <f>VLOOKUP(B472,'Insumos e Serviços'!$A:$F,5,0)</f>
        <v>UN</v>
      </c>
      <c r="F472" s="125">
        <v>2</v>
      </c>
      <c r="G472" s="118">
        <f>VLOOKUP(B472,'Insumos e Serviços'!$A:$F,6,0)</f>
        <v>25.94</v>
      </c>
      <c r="H472" s="118">
        <f t="shared" si="20"/>
        <v>51.88</v>
      </c>
    </row>
    <row r="473" spans="1:8" ht="34.5" thickBot="1">
      <c r="A473" s="115" t="str">
        <f>VLOOKUP(B473,'Insumos e Serviços'!$A:$F,3,0)</f>
        <v>Insumo</v>
      </c>
      <c r="B473" s="116" t="s">
        <v>233</v>
      </c>
      <c r="C473" s="116" t="str">
        <f>VLOOKUP(B473,'Insumos e Serviços'!$A:$F,2,0)</f>
        <v>Próprio</v>
      </c>
      <c r="D473" s="117" t="str">
        <f>VLOOKUP(B473,'Insumos e Serviços'!$A:$F,4,0)</f>
        <v>Impermeabilizante hidrofugante com efeito natural que não altera a cor da superfície, adequado para aplicação em granito, ref. Bellinzoni Proteção Contra Manchas</v>
      </c>
      <c r="E473" s="116" t="str">
        <f>VLOOKUP(B473,'Insumos e Serviços'!$A:$F,5,0)</f>
        <v>l</v>
      </c>
      <c r="F473" s="125">
        <v>0.3</v>
      </c>
      <c r="G473" s="118">
        <f>VLOOKUP(B473,'Insumos e Serviços'!$A:$F,6,0)</f>
        <v>86.79</v>
      </c>
      <c r="H473" s="118">
        <f t="shared" si="20"/>
        <v>26.03</v>
      </c>
    </row>
    <row r="474" spans="1:8" ht="13.5" thickTop="1">
      <c r="A474" s="119"/>
      <c r="B474" s="119"/>
      <c r="C474" s="119"/>
      <c r="D474" s="119"/>
      <c r="E474" s="119"/>
      <c r="F474" s="126"/>
      <c r="G474" s="119"/>
      <c r="H474" s="119"/>
    </row>
    <row r="475" spans="1:8" ht="12.75">
      <c r="A475" s="105" t="s">
        <v>126</v>
      </c>
      <c r="B475" s="106"/>
      <c r="C475" s="106"/>
      <c r="D475" s="105" t="str">
        <f>VLOOKUP(A475,'Orçamento Sintético'!$A:$H,4,0)</f>
        <v>INSTALAÇÕES ELÉTRICAS E ELETRÔNICAS</v>
      </c>
      <c r="E475" s="106"/>
      <c r="F475" s="122"/>
      <c r="G475" s="105"/>
      <c r="H475" s="107"/>
    </row>
    <row r="476" spans="1:8" ht="12.75">
      <c r="A476" s="108" t="s">
        <v>868</v>
      </c>
      <c r="B476" s="109"/>
      <c r="C476" s="109"/>
      <c r="D476" s="108" t="str">
        <f>VLOOKUP(A476,'Orçamento Sintético'!$A:$H,4,0)</f>
        <v>INSTALAÇÕES ELÉTRICAS</v>
      </c>
      <c r="E476" s="109"/>
      <c r="F476" s="123"/>
      <c r="G476" s="108"/>
      <c r="H476" s="110"/>
    </row>
    <row r="477" spans="1:8" ht="12.75">
      <c r="A477" s="108" t="s">
        <v>869</v>
      </c>
      <c r="B477" s="109"/>
      <c r="C477" s="109"/>
      <c r="D477" s="108" t="str">
        <f>VLOOKUP(A477,'Orçamento Sintético'!$A:$H,4,0)</f>
        <v>Rede Elétrica Primária</v>
      </c>
      <c r="E477" s="109"/>
      <c r="F477" s="123"/>
      <c r="G477" s="108"/>
      <c r="H477" s="110"/>
    </row>
    <row r="478" spans="1:8" ht="12.75">
      <c r="A478" s="111" t="s">
        <v>871</v>
      </c>
      <c r="B478" s="112" t="str">
        <f>VLOOKUP(A478,'Orçamento Sintético'!$A:$H,2,0)</f>
        <v> MPDFT0927 </v>
      </c>
      <c r="C478" s="112" t="str">
        <f>VLOOKUP(A478,'Orçamento Sintético'!$A:$H,3,0)</f>
        <v>Próprio</v>
      </c>
      <c r="D478" s="113" t="str">
        <f>VLOOKUP(A478,'Orçamento Sintético'!$A:$H,4,0)</f>
        <v>Quadro QT-N-SS - PJDIJ e PJSA</v>
      </c>
      <c r="E478" s="112" t="str">
        <f>VLOOKUP(A478,'Orçamento Sintético'!$A:$H,5,0)</f>
        <v>un</v>
      </c>
      <c r="F478" s="124"/>
      <c r="G478" s="114"/>
      <c r="H478" s="114">
        <f>SUM(H479:H481)</f>
        <v>8988.3</v>
      </c>
    </row>
    <row r="479" spans="1:8" ht="12.75">
      <c r="A479" s="115" t="str">
        <f>VLOOKUP(B479,'Insumos e Serviços'!$A:$F,3,0)</f>
        <v>Composição</v>
      </c>
      <c r="B479" s="116" t="s">
        <v>216</v>
      </c>
      <c r="C479" s="116" t="str">
        <f>VLOOKUP(B479,'Insumos e Serviços'!$A:$F,2,0)</f>
        <v>SINAPI</v>
      </c>
      <c r="D479" s="117" t="str">
        <f>VLOOKUP(B479,'Insumos e Serviços'!$A:$F,4,0)</f>
        <v>AUXILIAR DE ELETRICISTA COM ENCARGOS COMPLEMENTARES</v>
      </c>
      <c r="E479" s="116" t="str">
        <f>VLOOKUP(B479,'Insumos e Serviços'!$A:$F,5,0)</f>
        <v>H</v>
      </c>
      <c r="F479" s="125">
        <v>10</v>
      </c>
      <c r="G479" s="118">
        <f>VLOOKUP(B479,'Insumos e Serviços'!$A:$F,6,0)</f>
        <v>19.65</v>
      </c>
      <c r="H479" s="118">
        <f>TRUNC(F479*G479,2)</f>
        <v>196.5</v>
      </c>
    </row>
    <row r="480" spans="1:8" ht="12.75">
      <c r="A480" s="115" t="str">
        <f>VLOOKUP(B480,'Insumos e Serviços'!$A:$F,3,0)</f>
        <v>Composição</v>
      </c>
      <c r="B480" s="116" t="s">
        <v>215</v>
      </c>
      <c r="C480" s="116" t="str">
        <f>VLOOKUP(B480,'Insumos e Serviços'!$A:$F,2,0)</f>
        <v>SINAPI</v>
      </c>
      <c r="D480" s="117" t="str">
        <f>VLOOKUP(B480,'Insumos e Serviços'!$A:$F,4,0)</f>
        <v>ELETRICISTA COM ENCARGOS COMPLEMENTARES</v>
      </c>
      <c r="E480" s="116" t="str">
        <f>VLOOKUP(B480,'Insumos e Serviços'!$A:$F,5,0)</f>
        <v>H</v>
      </c>
      <c r="F480" s="125">
        <v>10</v>
      </c>
      <c r="G480" s="118">
        <f>VLOOKUP(B480,'Insumos e Serviços'!$A:$F,6,0)</f>
        <v>25.34</v>
      </c>
      <c r="H480" s="118">
        <f>TRUNC(F480*G480,2)</f>
        <v>253.4</v>
      </c>
    </row>
    <row r="481" spans="1:8" ht="13.5" thickBot="1">
      <c r="A481" s="115" t="str">
        <f>VLOOKUP(B481,'Insumos e Serviços'!$A:$F,3,0)</f>
        <v>Insumo</v>
      </c>
      <c r="B481" s="116" t="s">
        <v>510</v>
      </c>
      <c r="C481" s="116" t="str">
        <f>VLOOKUP(B481,'Insumos e Serviços'!$A:$F,2,0)</f>
        <v>Próprio</v>
      </c>
      <c r="D481" s="117" t="str">
        <f>VLOOKUP(B481,'Insumos e Serviços'!$A:$F,4,0)</f>
        <v>Quadro QT-N-SS - PJDIJ e PJSA</v>
      </c>
      <c r="E481" s="116" t="str">
        <f>VLOOKUP(B481,'Insumos e Serviços'!$A:$F,5,0)</f>
        <v>un</v>
      </c>
      <c r="F481" s="125">
        <v>1</v>
      </c>
      <c r="G481" s="118">
        <f>VLOOKUP(B481,'Insumos e Serviços'!$A:$F,6,0)</f>
        <v>8538.4</v>
      </c>
      <c r="H481" s="118">
        <f>TRUNC(F481*G481,2)</f>
        <v>8538.4</v>
      </c>
    </row>
    <row r="482" spans="1:8" ht="13.5" thickTop="1">
      <c r="A482" s="119"/>
      <c r="B482" s="119"/>
      <c r="C482" s="119"/>
      <c r="D482" s="119"/>
      <c r="E482" s="119"/>
      <c r="F482" s="126"/>
      <c r="G482" s="119"/>
      <c r="H482" s="119"/>
    </row>
    <row r="483" spans="1:8" ht="12.75">
      <c r="A483" s="108" t="s">
        <v>876</v>
      </c>
      <c r="B483" s="109"/>
      <c r="C483" s="109"/>
      <c r="D483" s="108" t="str">
        <f>VLOOKUP(A483,'Orçamento Sintético'!$A:$H,4,0)</f>
        <v>Rede Elétrica Secundária</v>
      </c>
      <c r="E483" s="109"/>
      <c r="F483" s="123"/>
      <c r="G483" s="108"/>
      <c r="H483" s="110"/>
    </row>
    <row r="484" spans="1:8" ht="22.5">
      <c r="A484" s="111" t="s">
        <v>881</v>
      </c>
      <c r="B484" s="112" t="str">
        <f>VLOOKUP(A484,'Orçamento Sintético'!$A:$H,2,0)</f>
        <v> MPDFT0352 </v>
      </c>
      <c r="C484" s="112" t="str">
        <f>VLOOKUP(A484,'Orçamento Sintético'!$A:$H,3,0)</f>
        <v>Próprio</v>
      </c>
      <c r="D484" s="113" t="str">
        <f>VLOOKUP(A484,'Orçamento Sintético'!$A:$H,4,0)</f>
        <v>Copia da SINAPI (95727) - Eletroduto rígido soldável, PVC cor cinza, dn 25mm (3/4”), aparente, instalado em teto – fornecimento e instalação</v>
      </c>
      <c r="E484" s="112" t="str">
        <f>VLOOKUP(A484,'Orçamento Sintético'!$A:$H,5,0)</f>
        <v>m</v>
      </c>
      <c r="F484" s="124"/>
      <c r="G484" s="114"/>
      <c r="H484" s="114">
        <f>SUM(H485:H488)</f>
        <v>20.01</v>
      </c>
    </row>
    <row r="485" spans="1:8" ht="12.75">
      <c r="A485" s="115" t="str">
        <f>VLOOKUP(B485,'Insumos e Serviços'!$A:$F,3,0)</f>
        <v>Composição</v>
      </c>
      <c r="B485" s="116" t="s">
        <v>216</v>
      </c>
      <c r="C485" s="116" t="str">
        <f>VLOOKUP(B485,'Insumos e Serviços'!$A:$F,2,0)</f>
        <v>SINAPI</v>
      </c>
      <c r="D485" s="117" t="str">
        <f>VLOOKUP(B485,'Insumos e Serviços'!$A:$F,4,0)</f>
        <v>AUXILIAR DE ELETRICISTA COM ENCARGOS COMPLEMENTARES</v>
      </c>
      <c r="E485" s="116" t="str">
        <f>VLOOKUP(B485,'Insumos e Serviços'!$A:$F,5,0)</f>
        <v>H</v>
      </c>
      <c r="F485" s="125">
        <v>0.0391</v>
      </c>
      <c r="G485" s="118">
        <f>VLOOKUP(B485,'Insumos e Serviços'!$A:$F,6,0)</f>
        <v>19.65</v>
      </c>
      <c r="H485" s="118">
        <f>TRUNC(F485*G485,2)</f>
        <v>0.76</v>
      </c>
    </row>
    <row r="486" spans="1:8" ht="12.75">
      <c r="A486" s="115" t="str">
        <f>VLOOKUP(B486,'Insumos e Serviços'!$A:$F,3,0)</f>
        <v>Composição</v>
      </c>
      <c r="B486" s="116" t="s">
        <v>215</v>
      </c>
      <c r="C486" s="116" t="str">
        <f>VLOOKUP(B486,'Insumos e Serviços'!$A:$F,2,0)</f>
        <v>SINAPI</v>
      </c>
      <c r="D486" s="117" t="str">
        <f>VLOOKUP(B486,'Insumos e Serviços'!$A:$F,4,0)</f>
        <v>ELETRICISTA COM ENCARGOS COMPLEMENTARES</v>
      </c>
      <c r="E486" s="116" t="str">
        <f>VLOOKUP(B486,'Insumos e Serviços'!$A:$F,5,0)</f>
        <v>H</v>
      </c>
      <c r="F486" s="125">
        <v>0.0391</v>
      </c>
      <c r="G486" s="118">
        <f>VLOOKUP(B486,'Insumos e Serviços'!$A:$F,6,0)</f>
        <v>25.34</v>
      </c>
      <c r="H486" s="118">
        <f>TRUNC(F486*G486,2)</f>
        <v>0.99</v>
      </c>
    </row>
    <row r="487" spans="1:8" ht="45">
      <c r="A487" s="115" t="str">
        <f>VLOOKUP(B487,'Insumos e Serviços'!$A:$F,3,0)</f>
        <v>Composição</v>
      </c>
      <c r="B487" s="116" t="s">
        <v>240</v>
      </c>
      <c r="C487" s="116" t="str">
        <f>VLOOKUP(B487,'Insumos e Serviços'!$A:$F,2,0)</f>
        <v>SINAPI</v>
      </c>
      <c r="D487" s="117" t="str">
        <f>VLOOKUP(B487,'Insumos e Serviços'!$A:$F,4,0)</f>
        <v>FIXAÇÃO DE TUBOS HORIZONTAIS DE PVC, CPVC OU COBRE DIÂMETROS MENORES OU IGUAIS A 40 MM OU ELETROCALHAS ATÉ 150MM DE LARGURA, COM ABRAÇADEIRA METÁLICA RÍGIDA TIPO D 1/2, FIXADA EM PERFILADO EM LAJE. AF_05/2015</v>
      </c>
      <c r="E487" s="116" t="str">
        <f>VLOOKUP(B487,'Insumos e Serviços'!$A:$F,5,0)</f>
        <v>M</v>
      </c>
      <c r="F487" s="125">
        <v>1</v>
      </c>
      <c r="G487" s="118">
        <f>VLOOKUP(B487,'Insumos e Serviços'!$A:$F,6,0)</f>
        <v>3.04</v>
      </c>
      <c r="H487" s="118">
        <f>TRUNC(F487*G487,2)</f>
        <v>3.04</v>
      </c>
    </row>
    <row r="488" spans="1:8" ht="23.25" thickBot="1">
      <c r="A488" s="115" t="str">
        <f>VLOOKUP(B488,'Insumos e Serviços'!$A:$F,3,0)</f>
        <v>Insumo</v>
      </c>
      <c r="B488" s="116" t="s">
        <v>1150</v>
      </c>
      <c r="C488" s="116" t="str">
        <f>VLOOKUP(B488,'Insumos e Serviços'!$A:$F,2,0)</f>
        <v>SINAPI</v>
      </c>
      <c r="D488" s="117" t="str">
        <f>VLOOKUP(B488,'Insumos e Serviços'!$A:$F,4,0)</f>
        <v>ELETRODUTO/CONDULETE DE PVC RIGIDO, LISO, COR CINZA, DE 3/4", PARA INSTALACOES APARENTES (NBR 5410)</v>
      </c>
      <c r="E488" s="116" t="str">
        <f>VLOOKUP(B488,'Insumos e Serviços'!$A:$F,5,0)</f>
        <v>M</v>
      </c>
      <c r="F488" s="125">
        <v>1.0481</v>
      </c>
      <c r="G488" s="118">
        <f>VLOOKUP(B488,'Insumos e Serviços'!$A:$F,6,0)</f>
        <v>14.53</v>
      </c>
      <c r="H488" s="118">
        <f>TRUNC(F488*G488,2)</f>
        <v>15.22</v>
      </c>
    </row>
    <row r="489" spans="1:8" ht="13.5" thickTop="1">
      <c r="A489" s="119"/>
      <c r="B489" s="119"/>
      <c r="C489" s="119"/>
      <c r="D489" s="119"/>
      <c r="E489" s="119"/>
      <c r="F489" s="126"/>
      <c r="G489" s="119"/>
      <c r="H489" s="119"/>
    </row>
    <row r="490" spans="1:8" ht="22.5">
      <c r="A490" s="111" t="s">
        <v>884</v>
      </c>
      <c r="B490" s="112" t="str">
        <f>VLOOKUP(A490,'Orçamento Sintético'!$A:$H,2,0)</f>
        <v> MPDFT0402 </v>
      </c>
      <c r="C490" s="112" t="str">
        <f>VLOOKUP(A490,'Orçamento Sintético'!$A:$H,3,0)</f>
        <v>Próprio</v>
      </c>
      <c r="D490" s="113" t="str">
        <f>VLOOKUP(A490,'Orçamento Sintético'!$A:$H,4,0)</f>
        <v>Copia da SINAPI (95728) - Eletroduto rígido soldável, PVC cor cinza, dn 32mm (1”), aparente, instalado em teto – fornecimento e instalação</v>
      </c>
      <c r="E490" s="112" t="str">
        <f>VLOOKUP(A490,'Orçamento Sintético'!$A:$H,5,0)</f>
        <v>m</v>
      </c>
      <c r="F490" s="124"/>
      <c r="G490" s="114"/>
      <c r="H490" s="114">
        <f>SUM(H491:H494)</f>
        <v>27.42</v>
      </c>
    </row>
    <row r="491" spans="1:8" ht="12.75">
      <c r="A491" s="115" t="str">
        <f>VLOOKUP(B491,'Insumos e Serviços'!$A:$F,3,0)</f>
        <v>Composição</v>
      </c>
      <c r="B491" s="116" t="s">
        <v>216</v>
      </c>
      <c r="C491" s="116" t="str">
        <f>VLOOKUP(B491,'Insumos e Serviços'!$A:$F,2,0)</f>
        <v>SINAPI</v>
      </c>
      <c r="D491" s="117" t="str">
        <f>VLOOKUP(B491,'Insumos e Serviços'!$A:$F,4,0)</f>
        <v>AUXILIAR DE ELETRICISTA COM ENCARGOS COMPLEMENTARES</v>
      </c>
      <c r="E491" s="116" t="str">
        <f>VLOOKUP(B491,'Insumos e Serviços'!$A:$F,5,0)</f>
        <v>H</v>
      </c>
      <c r="F491" s="125">
        <v>0.0506</v>
      </c>
      <c r="G491" s="118">
        <f>VLOOKUP(B491,'Insumos e Serviços'!$A:$F,6,0)</f>
        <v>19.65</v>
      </c>
      <c r="H491" s="118">
        <f>TRUNC(F491*G491,2)</f>
        <v>0.99</v>
      </c>
    </row>
    <row r="492" spans="1:8" ht="12.75">
      <c r="A492" s="115" t="str">
        <f>VLOOKUP(B492,'Insumos e Serviços'!$A:$F,3,0)</f>
        <v>Composição</v>
      </c>
      <c r="B492" s="116" t="s">
        <v>215</v>
      </c>
      <c r="C492" s="116" t="str">
        <f>VLOOKUP(B492,'Insumos e Serviços'!$A:$F,2,0)</f>
        <v>SINAPI</v>
      </c>
      <c r="D492" s="117" t="str">
        <f>VLOOKUP(B492,'Insumos e Serviços'!$A:$F,4,0)</f>
        <v>ELETRICISTA COM ENCARGOS COMPLEMENTARES</v>
      </c>
      <c r="E492" s="116" t="str">
        <f>VLOOKUP(B492,'Insumos e Serviços'!$A:$F,5,0)</f>
        <v>H</v>
      </c>
      <c r="F492" s="125">
        <v>0.0506</v>
      </c>
      <c r="G492" s="118">
        <f>VLOOKUP(B492,'Insumos e Serviços'!$A:$F,6,0)</f>
        <v>25.34</v>
      </c>
      <c r="H492" s="118">
        <f>TRUNC(F492*G492,2)</f>
        <v>1.28</v>
      </c>
    </row>
    <row r="493" spans="1:8" ht="45">
      <c r="A493" s="115" t="str">
        <f>VLOOKUP(B493,'Insumos e Serviços'!$A:$F,3,0)</f>
        <v>Composição</v>
      </c>
      <c r="B493" s="116" t="s">
        <v>240</v>
      </c>
      <c r="C493" s="116" t="str">
        <f>VLOOKUP(B493,'Insumos e Serviços'!$A:$F,2,0)</f>
        <v>SINAPI</v>
      </c>
      <c r="D493" s="117" t="str">
        <f>VLOOKUP(B493,'Insumos e Serviços'!$A:$F,4,0)</f>
        <v>FIXAÇÃO DE TUBOS HORIZONTAIS DE PVC, CPVC OU COBRE DIÂMETROS MENORES OU IGUAIS A 40 MM OU ELETROCALHAS ATÉ 150MM DE LARGURA, COM ABRAÇADEIRA METÁLICA RÍGIDA TIPO D 1/2, FIXADA EM PERFILADO EM LAJE. AF_05/2015</v>
      </c>
      <c r="E493" s="116" t="str">
        <f>VLOOKUP(B493,'Insumos e Serviços'!$A:$F,5,0)</f>
        <v>M</v>
      </c>
      <c r="F493" s="125">
        <v>1</v>
      </c>
      <c r="G493" s="118">
        <f>VLOOKUP(B493,'Insumos e Serviços'!$A:$F,6,0)</f>
        <v>3.04</v>
      </c>
      <c r="H493" s="118">
        <f>TRUNC(F493*G493,2)</f>
        <v>3.04</v>
      </c>
    </row>
    <row r="494" spans="1:8" ht="23.25" thickBot="1">
      <c r="A494" s="115" t="str">
        <f>VLOOKUP(B494,'Insumos e Serviços'!$A:$F,3,0)</f>
        <v>Insumo</v>
      </c>
      <c r="B494" s="116" t="s">
        <v>1152</v>
      </c>
      <c r="C494" s="116" t="str">
        <f>VLOOKUP(B494,'Insumos e Serviços'!$A:$F,2,0)</f>
        <v>SINAPI</v>
      </c>
      <c r="D494" s="117" t="str">
        <f>VLOOKUP(B494,'Insumos e Serviços'!$A:$F,4,0)</f>
        <v>ELETRODUTO/CONDULETE DE PVC RIGIDO, LISO, COR CINZA, DE 1", PARA INSTALACOES APARENTES (NBR 5410)</v>
      </c>
      <c r="E494" s="116" t="str">
        <f>VLOOKUP(B494,'Insumos e Serviços'!$A:$F,5,0)</f>
        <v>M</v>
      </c>
      <c r="F494" s="125">
        <v>1.0481</v>
      </c>
      <c r="G494" s="118">
        <f>VLOOKUP(B494,'Insumos e Serviços'!$A:$F,6,0)</f>
        <v>21.1</v>
      </c>
      <c r="H494" s="118">
        <f>TRUNC(F494*G494,2)</f>
        <v>22.11</v>
      </c>
    </row>
    <row r="495" spans="1:8" ht="13.5" thickTop="1">
      <c r="A495" s="119"/>
      <c r="B495" s="119"/>
      <c r="C495" s="119"/>
      <c r="D495" s="119"/>
      <c r="E495" s="119"/>
      <c r="F495" s="126"/>
      <c r="G495" s="119"/>
      <c r="H495" s="119"/>
    </row>
    <row r="496" spans="1:8" ht="22.5">
      <c r="A496" s="111" t="s">
        <v>889</v>
      </c>
      <c r="B496" s="112" t="str">
        <f>VLOOKUP(A496,'Orçamento Sintético'!$A:$H,2,0)</f>
        <v> MPDFT0925 </v>
      </c>
      <c r="C496" s="112" t="str">
        <f>VLOOKUP(A496,'Orçamento Sintético'!$A:$H,3,0)</f>
        <v>Próprio</v>
      </c>
      <c r="D496" s="113" t="str">
        <f>VLOOKUP(A496,'Orçamento Sintético'!$A:$H,4,0)</f>
        <v>Cópia da CPOS (37.25.090) - Disjuntor tripolar caixa moldada 63A 50kA/380V Schneider LV429006+LV429032</v>
      </c>
      <c r="E496" s="112" t="str">
        <f>VLOOKUP(A496,'Orçamento Sintético'!$A:$H,5,0)</f>
        <v>un</v>
      </c>
      <c r="F496" s="124"/>
      <c r="G496" s="114"/>
      <c r="H496" s="114">
        <f>SUM(H497:H500)</f>
        <v>2869.81</v>
      </c>
    </row>
    <row r="497" spans="1:8" ht="12.75">
      <c r="A497" s="115" t="str">
        <f>VLOOKUP(B497,'Insumos e Serviços'!$A:$F,3,0)</f>
        <v>Composição</v>
      </c>
      <c r="B497" s="116" t="s">
        <v>1154</v>
      </c>
      <c r="C497" s="116" t="str">
        <f>VLOOKUP(B497,'Insumos e Serviços'!$A:$F,2,0)</f>
        <v>SINAPI</v>
      </c>
      <c r="D497" s="117" t="str">
        <f>VLOOKUP(B497,'Insumos e Serviços'!$A:$F,4,0)</f>
        <v>MONTADOR DE ELETROELETRÔNICOS COM ENCARGOS COMPLEMENTARES</v>
      </c>
      <c r="E497" s="116" t="str">
        <f>VLOOKUP(B497,'Insumos e Serviços'!$A:$F,5,0)</f>
        <v>H</v>
      </c>
      <c r="F497" s="125">
        <v>1</v>
      </c>
      <c r="G497" s="118">
        <f>VLOOKUP(B497,'Insumos e Serviços'!$A:$F,6,0)</f>
        <v>22.43</v>
      </c>
      <c r="H497" s="118">
        <f>TRUNC(F497*G497,2)</f>
        <v>22.43</v>
      </c>
    </row>
    <row r="498" spans="1:8" ht="12.75">
      <c r="A498" s="115" t="str">
        <f>VLOOKUP(B498,'Insumos e Serviços'!$A:$F,3,0)</f>
        <v>Composição</v>
      </c>
      <c r="B498" s="116" t="s">
        <v>215</v>
      </c>
      <c r="C498" s="116" t="str">
        <f>VLOOKUP(B498,'Insumos e Serviços'!$A:$F,2,0)</f>
        <v>SINAPI</v>
      </c>
      <c r="D498" s="117" t="str">
        <f>VLOOKUP(B498,'Insumos e Serviços'!$A:$F,4,0)</f>
        <v>ELETRICISTA COM ENCARGOS COMPLEMENTARES</v>
      </c>
      <c r="E498" s="116" t="str">
        <f>VLOOKUP(B498,'Insumos e Serviços'!$A:$F,5,0)</f>
        <v>H</v>
      </c>
      <c r="F498" s="125">
        <v>2</v>
      </c>
      <c r="G498" s="118">
        <f>VLOOKUP(B498,'Insumos e Serviços'!$A:$F,6,0)</f>
        <v>25.34</v>
      </c>
      <c r="H498" s="118">
        <f>TRUNC(F498*G498,2)</f>
        <v>50.68</v>
      </c>
    </row>
    <row r="499" spans="1:8" ht="12.75">
      <c r="A499" s="115" t="str">
        <f>VLOOKUP(B499,'Insumos e Serviços'!$A:$F,3,0)</f>
        <v>Composição</v>
      </c>
      <c r="B499" s="116" t="s">
        <v>216</v>
      </c>
      <c r="C499" s="116" t="str">
        <f>VLOOKUP(B499,'Insumos e Serviços'!$A:$F,2,0)</f>
        <v>SINAPI</v>
      </c>
      <c r="D499" s="117" t="str">
        <f>VLOOKUP(B499,'Insumos e Serviços'!$A:$F,4,0)</f>
        <v>AUXILIAR DE ELETRICISTA COM ENCARGOS COMPLEMENTARES</v>
      </c>
      <c r="E499" s="116" t="str">
        <f>VLOOKUP(B499,'Insumos e Serviços'!$A:$F,5,0)</f>
        <v>H</v>
      </c>
      <c r="F499" s="125">
        <v>2</v>
      </c>
      <c r="G499" s="118">
        <f>VLOOKUP(B499,'Insumos e Serviços'!$A:$F,6,0)</f>
        <v>19.65</v>
      </c>
      <c r="H499" s="118">
        <f>TRUNC(F499*G499,2)</f>
        <v>39.3</v>
      </c>
    </row>
    <row r="500" spans="1:8" ht="23.25" thickBot="1">
      <c r="A500" s="115" t="str">
        <f>VLOOKUP(B500,'Insumos e Serviços'!$A:$F,3,0)</f>
        <v>Insumo</v>
      </c>
      <c r="B500" s="116" t="s">
        <v>508</v>
      </c>
      <c r="C500" s="116" t="str">
        <f>VLOOKUP(B500,'Insumos e Serviços'!$A:$F,2,0)</f>
        <v>Próprio</v>
      </c>
      <c r="D500" s="117" t="str">
        <f>VLOOKUP(B500,'Insumos e Serviços'!$A:$F,4,0)</f>
        <v>Disjunto tripolar caixa moldada 63A 50kA/380V Schneider, inclusive disparador, LV429006+LV429032</v>
      </c>
      <c r="E500" s="116" t="str">
        <f>VLOOKUP(B500,'Insumos e Serviços'!$A:$F,5,0)</f>
        <v>un</v>
      </c>
      <c r="F500" s="125">
        <v>1</v>
      </c>
      <c r="G500" s="118">
        <f>VLOOKUP(B500,'Insumos e Serviços'!$A:$F,6,0)</f>
        <v>2757.4</v>
      </c>
      <c r="H500" s="118">
        <f>TRUNC(F500*G500,2)</f>
        <v>2757.4</v>
      </c>
    </row>
    <row r="501" spans="1:8" ht="13.5" thickTop="1">
      <c r="A501" s="119"/>
      <c r="B501" s="119"/>
      <c r="C501" s="119"/>
      <c r="D501" s="119"/>
      <c r="E501" s="119"/>
      <c r="F501" s="126"/>
      <c r="G501" s="119"/>
      <c r="H501" s="119"/>
    </row>
    <row r="502" spans="1:8" ht="33.75">
      <c r="A502" s="111" t="s">
        <v>895</v>
      </c>
      <c r="B502" s="112" t="str">
        <f>VLOOKUP(A502,'Orçamento Sintético'!$A:$H,2,0)</f>
        <v> MPDFT0873 </v>
      </c>
      <c r="C502" s="112" t="str">
        <f>VLOOKUP(A502,'Orçamento Sintético'!$A:$H,3,0)</f>
        <v>Próprio</v>
      </c>
      <c r="D502" s="113" t="str">
        <f>VLOOKUP(A502,'Orçamento Sintético'!$A:$H,4,0)</f>
        <v>Luminária circular de embutir, com difusor translúcido recuado, refletor multifacetado em alumínio anodizado  alto brilho LED EF45-E12000840, cor alumínio - Lumicenter LED Solution</v>
      </c>
      <c r="E502" s="112" t="str">
        <f>VLOOKUP(A502,'Orçamento Sintético'!$A:$H,5,0)</f>
        <v>un</v>
      </c>
      <c r="F502" s="124"/>
      <c r="G502" s="114"/>
      <c r="H502" s="114">
        <f>SUM(H503:H509)</f>
        <v>543.14</v>
      </c>
    </row>
    <row r="503" spans="1:8" ht="12.75">
      <c r="A503" s="115" t="str">
        <f>VLOOKUP(B503,'Insumos e Serviços'!$A:$F,3,0)</f>
        <v>Composição</v>
      </c>
      <c r="B503" s="116" t="s">
        <v>216</v>
      </c>
      <c r="C503" s="116" t="str">
        <f>VLOOKUP(B503,'Insumos e Serviços'!$A:$F,2,0)</f>
        <v>SINAPI</v>
      </c>
      <c r="D503" s="117" t="str">
        <f>VLOOKUP(B503,'Insumos e Serviços'!$A:$F,4,0)</f>
        <v>AUXILIAR DE ELETRICISTA COM ENCARGOS COMPLEMENTARES</v>
      </c>
      <c r="E503" s="116" t="str">
        <f>VLOOKUP(B503,'Insumos e Serviços'!$A:$F,5,0)</f>
        <v>H</v>
      </c>
      <c r="F503" s="125">
        <v>0.52</v>
      </c>
      <c r="G503" s="118">
        <f>VLOOKUP(B503,'Insumos e Serviços'!$A:$F,6,0)</f>
        <v>19.65</v>
      </c>
      <c r="H503" s="118">
        <f aca="true" t="shared" si="21" ref="H503:H509">TRUNC(F503*G503,2)</f>
        <v>10.21</v>
      </c>
    </row>
    <row r="504" spans="1:8" ht="12.75">
      <c r="A504" s="115" t="str">
        <f>VLOOKUP(B504,'Insumos e Serviços'!$A:$F,3,0)</f>
        <v>Composição</v>
      </c>
      <c r="B504" s="116" t="s">
        <v>215</v>
      </c>
      <c r="C504" s="116" t="str">
        <f>VLOOKUP(B504,'Insumos e Serviços'!$A:$F,2,0)</f>
        <v>SINAPI</v>
      </c>
      <c r="D504" s="117" t="str">
        <f>VLOOKUP(B504,'Insumos e Serviços'!$A:$F,4,0)</f>
        <v>ELETRICISTA COM ENCARGOS COMPLEMENTARES</v>
      </c>
      <c r="E504" s="116" t="str">
        <f>VLOOKUP(B504,'Insumos e Serviços'!$A:$F,5,0)</f>
        <v>H</v>
      </c>
      <c r="F504" s="125">
        <v>0.7</v>
      </c>
      <c r="G504" s="118">
        <f>VLOOKUP(B504,'Insumos e Serviços'!$A:$F,6,0)</f>
        <v>25.34</v>
      </c>
      <c r="H504" s="118">
        <f t="shared" si="21"/>
        <v>17.73</v>
      </c>
    </row>
    <row r="505" spans="1:8" ht="22.5">
      <c r="A505" s="115" t="str">
        <f>VLOOKUP(B505,'Insumos e Serviços'!$A:$F,3,0)</f>
        <v>Composição</v>
      </c>
      <c r="B505" s="116" t="s">
        <v>1156</v>
      </c>
      <c r="C505" s="116" t="str">
        <f>VLOOKUP(B505,'Insumos e Serviços'!$A:$F,2,0)</f>
        <v>SINAPI</v>
      </c>
      <c r="D505" s="117" t="str">
        <f>VLOOKUP(B505,'Insumos e Serviços'!$A:$F,4,0)</f>
        <v>CONDULETE DE PVC, TIPO LL, PARA ELETRODUTO DE PVC SOLDÁVEL DN 20 MM (1/2''), APARENTE - FORNECIMENTO E INSTALAÇÃO. AF_11/2016</v>
      </c>
      <c r="E505" s="116" t="str">
        <f>VLOOKUP(B505,'Insumos e Serviços'!$A:$F,5,0)</f>
        <v>UN</v>
      </c>
      <c r="F505" s="125">
        <v>1</v>
      </c>
      <c r="G505" s="118">
        <f>VLOOKUP(B505,'Insumos e Serviços'!$A:$F,6,0)</f>
        <v>31.81</v>
      </c>
      <c r="H505" s="118">
        <f t="shared" si="21"/>
        <v>31.81</v>
      </c>
    </row>
    <row r="506" spans="1:8" ht="22.5">
      <c r="A506" s="115" t="str">
        <f>VLOOKUP(B506,'Insumos e Serviços'!$A:$F,3,0)</f>
        <v>Composição</v>
      </c>
      <c r="B506" s="116" t="s">
        <v>1158</v>
      </c>
      <c r="C506" s="116" t="str">
        <f>VLOOKUP(B506,'Insumos e Serviços'!$A:$F,2,0)</f>
        <v>SINAPI</v>
      </c>
      <c r="D506" s="117" t="str">
        <f>VLOOKUP(B506,'Insumos e Serviços'!$A:$F,4,0)</f>
        <v>TOMADA ALTA DE EMBUTIR (1 MÓDULO), 2P+T 10 A, INCLUINDO SUPORTE E PLACA - FORNECIMENTO E INSTALAÇÃO. AF_12/2015</v>
      </c>
      <c r="E506" s="116" t="str">
        <f>VLOOKUP(B506,'Insumos e Serviços'!$A:$F,5,0)</f>
        <v>UN</v>
      </c>
      <c r="F506" s="125">
        <v>1</v>
      </c>
      <c r="G506" s="118">
        <f>VLOOKUP(B506,'Insumos e Serviços'!$A:$F,6,0)</f>
        <v>42.09</v>
      </c>
      <c r="H506" s="118">
        <f t="shared" si="21"/>
        <v>42.09</v>
      </c>
    </row>
    <row r="507" spans="1:8" ht="12.75">
      <c r="A507" s="115" t="str">
        <f>VLOOKUP(B507,'Insumos e Serviços'!$A:$F,3,0)</f>
        <v>Insumo</v>
      </c>
      <c r="B507" s="116" t="s">
        <v>1160</v>
      </c>
      <c r="C507" s="116" t="str">
        <f>VLOOKUP(B507,'Insumos e Serviços'!$A:$F,2,0)</f>
        <v>SINAPI</v>
      </c>
      <c r="D507" s="117" t="str">
        <f>VLOOKUP(B507,'Insumos e Serviços'!$A:$F,4,0)</f>
        <v>CABO FLEXIVEL PVC 750 V, 3 CONDUTORES DE 1,5 MM2</v>
      </c>
      <c r="E507" s="116" t="str">
        <f>VLOOKUP(B507,'Insumos e Serviços'!$A:$F,5,0)</f>
        <v>M</v>
      </c>
      <c r="F507" s="125">
        <v>1.5</v>
      </c>
      <c r="G507" s="118">
        <f>VLOOKUP(B507,'Insumos e Serviços'!$A:$F,6,0)</f>
        <v>8.07</v>
      </c>
      <c r="H507" s="118">
        <f t="shared" si="21"/>
        <v>12.1</v>
      </c>
    </row>
    <row r="508" spans="1:8" ht="12.75">
      <c r="A508" s="115" t="str">
        <f>VLOOKUP(B508,'Insumos e Serviços'!$A:$F,3,0)</f>
        <v>Insumo</v>
      </c>
      <c r="B508" s="116" t="s">
        <v>440</v>
      </c>
      <c r="C508" s="116" t="str">
        <f>VLOOKUP(B508,'Insumos e Serviços'!$A:$F,2,0)</f>
        <v>Próprio</v>
      </c>
      <c r="D508" s="117" t="str">
        <f>VLOOKUP(B508,'Insumos e Serviços'!$A:$F,4,0)</f>
        <v>Plug macho 2P+T 10A para tomada</v>
      </c>
      <c r="E508" s="116" t="str">
        <f>VLOOKUP(B508,'Insumos e Serviços'!$A:$F,5,0)</f>
        <v>un</v>
      </c>
      <c r="F508" s="125">
        <v>1</v>
      </c>
      <c r="G508" s="118">
        <f>VLOOKUP(B508,'Insumos e Serviços'!$A:$F,6,0)</f>
        <v>2.63</v>
      </c>
      <c r="H508" s="118">
        <f t="shared" si="21"/>
        <v>2.63</v>
      </c>
    </row>
    <row r="509" spans="1:8" ht="34.5" thickBot="1">
      <c r="A509" s="115" t="str">
        <f>VLOOKUP(B509,'Insumos e Serviços'!$A:$F,3,0)</f>
        <v>Insumo</v>
      </c>
      <c r="B509" s="116" t="s">
        <v>475</v>
      </c>
      <c r="C509" s="116" t="str">
        <f>VLOOKUP(B509,'Insumos e Serviços'!$A:$F,2,0)</f>
        <v>Próprio</v>
      </c>
      <c r="D509" s="117" t="str">
        <f>VLOOKUP(B509,'Insumos e Serviços'!$A:$F,4,0)</f>
        <v>Luminária circular de embutir, com difusor translúcido recuado, refletor multifacetado em alumínio anodizado  alto brilho LED EF45-E12000840, cor alumínio - Lumicenter LED Solution</v>
      </c>
      <c r="E509" s="116" t="str">
        <f>VLOOKUP(B509,'Insumos e Serviços'!$A:$F,5,0)</f>
        <v>un</v>
      </c>
      <c r="F509" s="125">
        <v>1</v>
      </c>
      <c r="G509" s="118">
        <f>VLOOKUP(B509,'Insumos e Serviços'!$A:$F,6,0)</f>
        <v>426.57</v>
      </c>
      <c r="H509" s="118">
        <f t="shared" si="21"/>
        <v>426.57</v>
      </c>
    </row>
    <row r="510" spans="1:8" ht="13.5" thickTop="1">
      <c r="A510" s="119"/>
      <c r="B510" s="119"/>
      <c r="C510" s="119"/>
      <c r="D510" s="119"/>
      <c r="E510" s="119"/>
      <c r="F510" s="126"/>
      <c r="G510" s="119"/>
      <c r="H510" s="119"/>
    </row>
    <row r="511" spans="1:8" ht="22.5">
      <c r="A511" s="111" t="s">
        <v>897</v>
      </c>
      <c r="B511" s="112" t="str">
        <f>VLOOKUP(A511,'Orçamento Sintético'!$A:$H,2,0)</f>
        <v> MPDFT0874 </v>
      </c>
      <c r="C511" s="112" t="str">
        <f>VLOOKUP(A511,'Orçamento Sintético'!$A:$H,3,0)</f>
        <v>Próprio</v>
      </c>
      <c r="D511" s="113" t="str">
        <f>VLOOKUP(A511,'Orçamento Sintético'!$A:$H,4,0)</f>
        <v>Cópia da SBC (062048) - Campainha de sinalização de emergência com acionador e sinaleira de porta para PCD - GRA branco.</v>
      </c>
      <c r="E511" s="112" t="str">
        <f>VLOOKUP(A511,'Orçamento Sintético'!$A:$H,5,0)</f>
        <v>un</v>
      </c>
      <c r="F511" s="124"/>
      <c r="G511" s="114"/>
      <c r="H511" s="114">
        <f>SUM(H512:H514)</f>
        <v>1153.18</v>
      </c>
    </row>
    <row r="512" spans="1:8" ht="12.75">
      <c r="A512" s="115" t="str">
        <f>VLOOKUP(B512,'Insumos e Serviços'!$A:$F,3,0)</f>
        <v>Composição</v>
      </c>
      <c r="B512" s="116" t="s">
        <v>216</v>
      </c>
      <c r="C512" s="116" t="str">
        <f>VLOOKUP(B512,'Insumos e Serviços'!$A:$F,2,0)</f>
        <v>SINAPI</v>
      </c>
      <c r="D512" s="117" t="str">
        <f>VLOOKUP(B512,'Insumos e Serviços'!$A:$F,4,0)</f>
        <v>AUXILIAR DE ELETRICISTA COM ENCARGOS COMPLEMENTARES</v>
      </c>
      <c r="E512" s="116" t="str">
        <f>VLOOKUP(B512,'Insumos e Serviços'!$A:$F,5,0)</f>
        <v>H</v>
      </c>
      <c r="F512" s="125">
        <v>0.66</v>
      </c>
      <c r="G512" s="118">
        <v>19.65</v>
      </c>
      <c r="H512" s="118">
        <v>12.96</v>
      </c>
    </row>
    <row r="513" spans="1:8" ht="12.75">
      <c r="A513" s="115" t="str">
        <f>VLOOKUP(B513,'Insumos e Serviços'!$A:$F,3,0)</f>
        <v>Composição</v>
      </c>
      <c r="B513" s="116" t="s">
        <v>215</v>
      </c>
      <c r="C513" s="116" t="str">
        <f>VLOOKUP(B513,'Insumos e Serviços'!$A:$F,2,0)</f>
        <v>SINAPI</v>
      </c>
      <c r="D513" s="117" t="str">
        <f>VLOOKUP(B513,'Insumos e Serviços'!$A:$F,4,0)</f>
        <v>ELETRICISTA COM ENCARGOS COMPLEMENTARES</v>
      </c>
      <c r="E513" s="116" t="str">
        <f>VLOOKUP(B513,'Insumos e Serviços'!$A:$F,5,0)</f>
        <v>H</v>
      </c>
      <c r="F513" s="125">
        <v>0.66</v>
      </c>
      <c r="G513" s="118">
        <v>25.34</v>
      </c>
      <c r="H513" s="118">
        <v>16.72</v>
      </c>
    </row>
    <row r="514" spans="1:8" ht="23.25" thickBot="1">
      <c r="A514" s="115" t="str">
        <f>VLOOKUP(B514,'Insumos e Serviços'!$A:$F,3,0)</f>
        <v>Insumo</v>
      </c>
      <c r="B514" s="116" t="s">
        <v>477</v>
      </c>
      <c r="C514" s="116" t="str">
        <f>VLOOKUP(B514,'Insumos e Serviços'!$A:$F,2,0)</f>
        <v>Próprio</v>
      </c>
      <c r="D514" s="117" t="str">
        <f>VLOOKUP(B514,'Insumos e Serviços'!$A:$F,4,0)</f>
        <v>Campainha de sinalização de emergência com acionador e sinaleira de porta para PCD - GRA branco.</v>
      </c>
      <c r="E514" s="116" t="str">
        <f>VLOOKUP(B514,'Insumos e Serviços'!$A:$F,5,0)</f>
        <v>un</v>
      </c>
      <c r="F514" s="125">
        <v>1</v>
      </c>
      <c r="G514" s="118">
        <v>1123.5</v>
      </c>
      <c r="H514" s="118">
        <v>1123.5</v>
      </c>
    </row>
    <row r="515" spans="1:8" ht="13.5" thickTop="1">
      <c r="A515" s="119"/>
      <c r="B515" s="119"/>
      <c r="C515" s="119"/>
      <c r="D515" s="119"/>
      <c r="E515" s="119"/>
      <c r="F515" s="126"/>
      <c r="G515" s="119"/>
      <c r="H515" s="119"/>
    </row>
    <row r="516" spans="1:8" ht="12.75">
      <c r="A516" s="111" t="s">
        <v>900</v>
      </c>
      <c r="B516" s="112" t="str">
        <f>VLOOKUP(A516,'Orçamento Sintético'!$A:$H,2,0)</f>
        <v> MPDFT0362 </v>
      </c>
      <c r="C516" s="112" t="str">
        <f>VLOOKUP(A516,'Orçamento Sintético'!$A:$H,3,0)</f>
        <v>Próprio</v>
      </c>
      <c r="D516" s="113" t="str">
        <f>VLOOKUP(A516,'Orçamento Sintético'!$A:$H,4,0)</f>
        <v>Ponto de tomada simples (PTS) média</v>
      </c>
      <c r="E516" s="112" t="str">
        <f>VLOOKUP(A516,'Orçamento Sintético'!$A:$H,5,0)</f>
        <v>un</v>
      </c>
      <c r="F516" s="124"/>
      <c r="G516" s="114"/>
      <c r="H516" s="114">
        <f>SUM(H517:H518)</f>
        <v>48.74</v>
      </c>
    </row>
    <row r="517" spans="1:8" ht="22.5">
      <c r="A517" s="115" t="str">
        <f>VLOOKUP(B517,'Insumos e Serviços'!$A:$F,3,0)</f>
        <v>Composição</v>
      </c>
      <c r="B517" s="116" t="s">
        <v>1162</v>
      </c>
      <c r="C517" s="116" t="str">
        <f>VLOOKUP(B517,'Insumos e Serviços'!$A:$F,2,0)</f>
        <v>SINAPI</v>
      </c>
      <c r="D517" s="117" t="str">
        <f>VLOOKUP(B517,'Insumos e Serviços'!$A:$F,4,0)</f>
        <v>TOMADA MÉDIA DE EMBUTIR (1 MÓDULO), 2P+T 10 A, INCLUINDO SUPORTE E PLACA - FORNECIMENTO E INSTALAÇÃO. AF_12/2015</v>
      </c>
      <c r="E517" s="116" t="str">
        <f>VLOOKUP(B517,'Insumos e Serviços'!$A:$F,5,0)</f>
        <v>UN</v>
      </c>
      <c r="F517" s="125">
        <v>1</v>
      </c>
      <c r="G517" s="118">
        <f>VLOOKUP(B517,'Insumos e Serviços'!$A:$F,6,0)</f>
        <v>33.64</v>
      </c>
      <c r="H517" s="118">
        <f>TRUNC(F517*G517,2)</f>
        <v>33.64</v>
      </c>
    </row>
    <row r="518" spans="1:8" ht="23.25" thickBot="1">
      <c r="A518" s="115" t="str">
        <f>VLOOKUP(B518,'Insumos e Serviços'!$A:$F,3,0)</f>
        <v>Composição</v>
      </c>
      <c r="B518" s="116" t="s">
        <v>342</v>
      </c>
      <c r="C518" s="116" t="str">
        <f>VLOOKUP(B518,'Insumos e Serviços'!$A:$F,2,0)</f>
        <v>SINAPI</v>
      </c>
      <c r="D518" s="117" t="str">
        <f>VLOOKUP(B518,'Insumos e Serviços'!$A:$F,4,0)</f>
        <v>CAIXA RETANGULAR 4" X 2" MÉDIA (1,30 M DO PISO), PVC, INSTALADA EM PAREDE - FORNECIMENTO E INSTALAÇÃO. AF_12/2015</v>
      </c>
      <c r="E518" s="116" t="str">
        <f>VLOOKUP(B518,'Insumos e Serviços'!$A:$F,5,0)</f>
        <v>UN</v>
      </c>
      <c r="F518" s="125">
        <v>1</v>
      </c>
      <c r="G518" s="118">
        <f>VLOOKUP(B518,'Insumos e Serviços'!$A:$F,6,0)</f>
        <v>15.1</v>
      </c>
      <c r="H518" s="118">
        <f>TRUNC(F518*G518,2)</f>
        <v>15.1</v>
      </c>
    </row>
    <row r="519" spans="1:8" ht="13.5" thickTop="1">
      <c r="A519" s="119"/>
      <c r="B519" s="119"/>
      <c r="C519" s="119"/>
      <c r="D519" s="119"/>
      <c r="E519" s="119"/>
      <c r="F519" s="126"/>
      <c r="G519" s="119"/>
      <c r="H519" s="119"/>
    </row>
    <row r="520" spans="1:8" ht="12.75">
      <c r="A520" s="111" t="s">
        <v>903</v>
      </c>
      <c r="B520" s="112" t="str">
        <f>VLOOKUP(A520,'Orçamento Sintético'!$A:$H,2,0)</f>
        <v> MPDFT0366 </v>
      </c>
      <c r="C520" s="112" t="str">
        <f>VLOOKUP(A520,'Orçamento Sintético'!$A:$H,3,0)</f>
        <v>Próprio</v>
      </c>
      <c r="D520" s="113" t="str">
        <f>VLOOKUP(A520,'Orçamento Sintético'!$A:$H,4,0)</f>
        <v>Ponto de tomada de potência (PTP) alta</v>
      </c>
      <c r="E520" s="112" t="str">
        <f>VLOOKUP(A520,'Orçamento Sintético'!$A:$H,5,0)</f>
        <v>un</v>
      </c>
      <c r="F520" s="124"/>
      <c r="G520" s="114"/>
      <c r="H520" s="114">
        <f>SUM(H521:H522)</f>
        <v>72.4</v>
      </c>
    </row>
    <row r="521" spans="1:8" ht="22.5">
      <c r="A521" s="115" t="str">
        <f>VLOOKUP(B521,'Insumos e Serviços'!$A:$F,3,0)</f>
        <v>Composição</v>
      </c>
      <c r="B521" s="116" t="s">
        <v>1164</v>
      </c>
      <c r="C521" s="116" t="str">
        <f>VLOOKUP(B521,'Insumos e Serviços'!$A:$F,2,0)</f>
        <v>SINAPI</v>
      </c>
      <c r="D521" s="117" t="str">
        <f>VLOOKUP(B521,'Insumos e Serviços'!$A:$F,4,0)</f>
        <v>TOMADA ALTA DE EMBUTIR (1 MÓDULO), 2P+T 20 A, INCLUINDO SUPORTE E PLACA - FORNECIMENTO E INSTALAÇÃO. AF_12/2015</v>
      </c>
      <c r="E521" s="116" t="str">
        <f>VLOOKUP(B521,'Insumos e Serviços'!$A:$F,5,0)</f>
        <v>UN</v>
      </c>
      <c r="F521" s="125">
        <v>1</v>
      </c>
      <c r="G521" s="118">
        <f>VLOOKUP(B521,'Insumos e Serviços'!$A:$F,6,0)</f>
        <v>45.06</v>
      </c>
      <c r="H521" s="118">
        <f>TRUNC(F521*G521,2)</f>
        <v>45.06</v>
      </c>
    </row>
    <row r="522" spans="1:8" ht="23.25" thickBot="1">
      <c r="A522" s="115" t="str">
        <f>VLOOKUP(B522,'Insumos e Serviços'!$A:$F,3,0)</f>
        <v>Composição</v>
      </c>
      <c r="B522" s="116" t="s">
        <v>1166</v>
      </c>
      <c r="C522" s="116" t="str">
        <f>VLOOKUP(B522,'Insumos e Serviços'!$A:$F,2,0)</f>
        <v>SINAPI</v>
      </c>
      <c r="D522" s="117" t="str">
        <f>VLOOKUP(B522,'Insumos e Serviços'!$A:$F,4,0)</f>
        <v>CAIXA RETANGULAR 4" X 2" ALTA (2,00 M DO PISO), PVC, INSTALADA EM PAREDE - FORNECIMENTO E INSTALAÇÃO. AF_12/2015</v>
      </c>
      <c r="E522" s="116" t="str">
        <f>VLOOKUP(B522,'Insumos e Serviços'!$A:$F,5,0)</f>
        <v>UN</v>
      </c>
      <c r="F522" s="125">
        <v>1</v>
      </c>
      <c r="G522" s="118">
        <f>VLOOKUP(B522,'Insumos e Serviços'!$A:$F,6,0)</f>
        <v>27.34</v>
      </c>
      <c r="H522" s="118">
        <f>TRUNC(F522*G522,2)</f>
        <v>27.34</v>
      </c>
    </row>
    <row r="523" spans="1:8" ht="13.5" thickTop="1">
      <c r="A523" s="119"/>
      <c r="B523" s="119"/>
      <c r="C523" s="119"/>
      <c r="D523" s="119"/>
      <c r="E523" s="119"/>
      <c r="F523" s="126"/>
      <c r="G523" s="119"/>
      <c r="H523" s="119"/>
    </row>
    <row r="524" spans="1:8" ht="12.75">
      <c r="A524" s="111" t="s">
        <v>906</v>
      </c>
      <c r="B524" s="112" t="str">
        <f>VLOOKUP(A524,'Orçamento Sintético'!$A:$H,2,0)</f>
        <v> MPDFT0915 </v>
      </c>
      <c r="C524" s="112" t="str">
        <f>VLOOKUP(A524,'Orçamento Sintético'!$A:$H,3,0)</f>
        <v>Próprio</v>
      </c>
      <c r="D524" s="113" t="str">
        <f>VLOOKUP(A524,'Orçamento Sintético'!$A:$H,4,0)</f>
        <v>Ponto de tomada dupla média</v>
      </c>
      <c r="E524" s="112" t="str">
        <f>VLOOKUP(A524,'Orçamento Sintético'!$A:$H,5,0)</f>
        <v>un</v>
      </c>
      <c r="F524" s="124"/>
      <c r="G524" s="114"/>
      <c r="H524" s="114">
        <f>SUM(H525:H526)</f>
        <v>70.49</v>
      </c>
    </row>
    <row r="525" spans="1:8" ht="22.5">
      <c r="A525" s="115" t="str">
        <f>VLOOKUP(B525,'Insumos e Serviços'!$A:$F,3,0)</f>
        <v>Composição</v>
      </c>
      <c r="B525" s="116" t="s">
        <v>342</v>
      </c>
      <c r="C525" s="116" t="str">
        <f>VLOOKUP(B525,'Insumos e Serviços'!$A:$F,2,0)</f>
        <v>SINAPI</v>
      </c>
      <c r="D525" s="117" t="str">
        <f>VLOOKUP(B525,'Insumos e Serviços'!$A:$F,4,0)</f>
        <v>CAIXA RETANGULAR 4" X 2" MÉDIA (1,30 M DO PISO), PVC, INSTALADA EM PAREDE - FORNECIMENTO E INSTALAÇÃO. AF_12/2015</v>
      </c>
      <c r="E525" s="116" t="str">
        <f>VLOOKUP(B525,'Insumos e Serviços'!$A:$F,5,0)</f>
        <v>UN</v>
      </c>
      <c r="F525" s="125">
        <v>1</v>
      </c>
      <c r="G525" s="118">
        <f>VLOOKUP(B525,'Insumos e Serviços'!$A:$F,6,0)</f>
        <v>15.1</v>
      </c>
      <c r="H525" s="118">
        <f>TRUNC(F525*G525,2)</f>
        <v>15.1</v>
      </c>
    </row>
    <row r="526" spans="1:8" ht="23.25" thickBot="1">
      <c r="A526" s="115" t="str">
        <f>VLOOKUP(B526,'Insumos e Serviços'!$A:$F,3,0)</f>
        <v>Composição</v>
      </c>
      <c r="B526" s="116" t="s">
        <v>1168</v>
      </c>
      <c r="C526" s="116" t="str">
        <f>VLOOKUP(B526,'Insumos e Serviços'!$A:$F,2,0)</f>
        <v>SINAPI</v>
      </c>
      <c r="D526" s="117" t="str">
        <f>VLOOKUP(B526,'Insumos e Serviços'!$A:$F,4,0)</f>
        <v>TOMADA MÉDIA DE EMBUTIR (2 MÓDULOS), 2P+T 10 A, INCLUINDO SUPORTE E PLACA - FORNECIMENTO E INSTALAÇÃO. AF_12/2015</v>
      </c>
      <c r="E526" s="116" t="str">
        <f>VLOOKUP(B526,'Insumos e Serviços'!$A:$F,5,0)</f>
        <v>UN</v>
      </c>
      <c r="F526" s="125">
        <v>1</v>
      </c>
      <c r="G526" s="118">
        <f>VLOOKUP(B526,'Insumos e Serviços'!$A:$F,6,0)</f>
        <v>55.39</v>
      </c>
      <c r="H526" s="118">
        <f>TRUNC(F526*G526,2)</f>
        <v>55.39</v>
      </c>
    </row>
    <row r="527" spans="1:8" ht="13.5" thickTop="1">
      <c r="A527" s="119"/>
      <c r="B527" s="119"/>
      <c r="C527" s="119"/>
      <c r="D527" s="119"/>
      <c r="E527" s="119"/>
      <c r="F527" s="126"/>
      <c r="G527" s="119"/>
      <c r="H527" s="119"/>
    </row>
    <row r="528" spans="1:8" ht="12.75">
      <c r="A528" s="105" t="s">
        <v>128</v>
      </c>
      <c r="B528" s="106"/>
      <c r="C528" s="106"/>
      <c r="D528" s="105" t="str">
        <f>VLOOKUP(A528,'Orçamento Sintético'!$A:$H,4,0)</f>
        <v>INSTALAÇÕES HIDRÁULICAS E SANITÁRIAS</v>
      </c>
      <c r="E528" s="106"/>
      <c r="F528" s="122"/>
      <c r="G528" s="105"/>
      <c r="H528" s="107"/>
    </row>
    <row r="529" spans="1:8" ht="12.75">
      <c r="A529" s="108" t="s">
        <v>909</v>
      </c>
      <c r="B529" s="109"/>
      <c r="C529" s="109"/>
      <c r="D529" s="108" t="str">
        <f>VLOOKUP(A529,'Orçamento Sintético'!$A:$H,4,0)</f>
        <v>ÁGUA FRIA</v>
      </c>
      <c r="E529" s="109"/>
      <c r="F529" s="123"/>
      <c r="G529" s="108"/>
      <c r="H529" s="110"/>
    </row>
    <row r="530" spans="1:8" ht="12.75">
      <c r="A530" s="108" t="s">
        <v>911</v>
      </c>
      <c r="B530" s="109"/>
      <c r="C530" s="109"/>
      <c r="D530" s="108" t="str">
        <f>VLOOKUP(A530,'Orçamento Sintético'!$A:$H,4,0)</f>
        <v>Tubulações e Conexões de PVC Rígido</v>
      </c>
      <c r="E530" s="109"/>
      <c r="F530" s="123"/>
      <c r="G530" s="108"/>
      <c r="H530" s="110"/>
    </row>
    <row r="531" spans="1:8" ht="33.75">
      <c r="A531" s="111" t="s">
        <v>913</v>
      </c>
      <c r="B531" s="112" t="str">
        <f>VLOOKUP(A531,'Orçamento Sintético'!$A:$H,2,0)</f>
        <v> MPDFT0513 </v>
      </c>
      <c r="C531" s="112" t="str">
        <f>VLOOKUP(A531,'Orçamento Sintético'!$A:$H,3,0)</f>
        <v>Próprio</v>
      </c>
      <c r="D531" s="113" t="str">
        <f>VLOOKUP(A531,'Orçamento Sintético'!$A:$H,4,0)</f>
        <v>Cópia da Sinapi (91788) - (Composição representativa) do serviço de instalação de tubos de PVC, soldável, água fria, DN 60mm (instalado em prumada), inclusive conexões, cortes e fixações, para prédios.</v>
      </c>
      <c r="E531" s="112" t="str">
        <f>VLOOKUP(A531,'Orçamento Sintético'!$A:$H,5,0)</f>
        <v>m</v>
      </c>
      <c r="F531" s="124"/>
      <c r="G531" s="114"/>
      <c r="H531" s="114">
        <f>SUM(H532:H542)</f>
        <v>88.85000000000001</v>
      </c>
    </row>
    <row r="532" spans="1:8" ht="22.5">
      <c r="A532" s="115" t="str">
        <f>VLOOKUP(B532,'Insumos e Serviços'!$A:$F,3,0)</f>
        <v>Composição</v>
      </c>
      <c r="B532" s="116" t="s">
        <v>1170</v>
      </c>
      <c r="C532" s="116" t="str">
        <f>VLOOKUP(B532,'Insumos e Serviços'!$A:$F,2,0)</f>
        <v>SINAPI</v>
      </c>
      <c r="D532" s="117" t="str">
        <f>VLOOKUP(B532,'Insumos e Serviços'!$A:$F,4,0)</f>
        <v>TUBO, PVC, SOLDÁVEL, DN 60MM, INSTALADO EM PRUMADA DE ÁGUA - FORNECIMENTO E INSTALAÇÃO. AF_12/2014</v>
      </c>
      <c r="E532" s="116" t="str">
        <f>VLOOKUP(B532,'Insumos e Serviços'!$A:$F,5,0)</f>
        <v>M</v>
      </c>
      <c r="F532" s="125">
        <v>1</v>
      </c>
      <c r="G532" s="118">
        <f>VLOOKUP(B532,'Insumos e Serviços'!$A:$F,6,0)</f>
        <v>32.93</v>
      </c>
      <c r="H532" s="118">
        <f aca="true" t="shared" si="22" ref="H532:H542">TRUNC(F532*G532,2)</f>
        <v>32.93</v>
      </c>
    </row>
    <row r="533" spans="1:8" ht="22.5">
      <c r="A533" s="115" t="str">
        <f>VLOOKUP(B533,'Insumos e Serviços'!$A:$F,3,0)</f>
        <v>Composição</v>
      </c>
      <c r="B533" s="116" t="s">
        <v>1172</v>
      </c>
      <c r="C533" s="116" t="str">
        <f>VLOOKUP(B533,'Insumos e Serviços'!$A:$F,2,0)</f>
        <v>SINAPI</v>
      </c>
      <c r="D533" s="117" t="str">
        <f>VLOOKUP(B533,'Insumos e Serviços'!$A:$F,4,0)</f>
        <v>JOELHO 90 GRAUS, PVC, SOLDÁVEL, DN 60MM, INSTALADO EM PRUMADA DE ÁGUA - FORNECIMENTO E INSTALAÇÃO. AF_12/2014</v>
      </c>
      <c r="E533" s="116" t="str">
        <f>VLOOKUP(B533,'Insumos e Serviços'!$A:$F,5,0)</f>
        <v>UN</v>
      </c>
      <c r="F533" s="125">
        <v>0.2851</v>
      </c>
      <c r="G533" s="118">
        <f>VLOOKUP(B533,'Insumos e Serviços'!$A:$F,6,0)</f>
        <v>40.44</v>
      </c>
      <c r="H533" s="118">
        <f t="shared" si="22"/>
        <v>11.52</v>
      </c>
    </row>
    <row r="534" spans="1:8" ht="22.5">
      <c r="A534" s="115" t="str">
        <f>VLOOKUP(B534,'Insumos e Serviços'!$A:$F,3,0)</f>
        <v>Composição</v>
      </c>
      <c r="B534" s="116" t="s">
        <v>1174</v>
      </c>
      <c r="C534" s="116" t="str">
        <f>VLOOKUP(B534,'Insumos e Serviços'!$A:$F,2,0)</f>
        <v>SINAPI</v>
      </c>
      <c r="D534" s="117" t="str">
        <f>VLOOKUP(B534,'Insumos e Serviços'!$A:$F,4,0)</f>
        <v>JOELHO 45 GRAUS, PVC, SOLDÁVEL, DN 60MM, INSTALADO EM PRUMADA DE ÁGUA - FORNECIMENTO E INSTALAÇÃO. AF_12/2014</v>
      </c>
      <c r="E534" s="116" t="str">
        <f>VLOOKUP(B534,'Insumos e Serviços'!$A:$F,5,0)</f>
        <v>UN</v>
      </c>
      <c r="F534" s="125">
        <v>0.1948</v>
      </c>
      <c r="G534" s="118">
        <f>VLOOKUP(B534,'Insumos e Serviços'!$A:$F,6,0)</f>
        <v>45.78</v>
      </c>
      <c r="H534" s="118">
        <f t="shared" si="22"/>
        <v>8.91</v>
      </c>
    </row>
    <row r="535" spans="1:8" ht="22.5">
      <c r="A535" s="115" t="str">
        <f>VLOOKUP(B535,'Insumos e Serviços'!$A:$F,3,0)</f>
        <v>Composição</v>
      </c>
      <c r="B535" s="116" t="s">
        <v>1176</v>
      </c>
      <c r="C535" s="116" t="str">
        <f>VLOOKUP(B535,'Insumos e Serviços'!$A:$F,2,0)</f>
        <v>SINAPI</v>
      </c>
      <c r="D535" s="117" t="str">
        <f>VLOOKUP(B535,'Insumos e Serviços'!$A:$F,4,0)</f>
        <v>LUVA, PVC, SOLDÁVEL, DN 60MM, INSTALADO EM PRUMADA DE ÁGUA - FORNECIMENTO E INSTALAÇÃO. AF_12/2014</v>
      </c>
      <c r="E535" s="116" t="str">
        <f>VLOOKUP(B535,'Insumos e Serviços'!$A:$F,5,0)</f>
        <v>UN</v>
      </c>
      <c r="F535" s="125">
        <v>0.2146</v>
      </c>
      <c r="G535" s="118">
        <f>VLOOKUP(B535,'Insumos e Serviços'!$A:$F,6,0)</f>
        <v>22.93</v>
      </c>
      <c r="H535" s="118">
        <f t="shared" si="22"/>
        <v>4.92</v>
      </c>
    </row>
    <row r="536" spans="1:8" ht="22.5">
      <c r="A536" s="115" t="str">
        <f>VLOOKUP(B536,'Insumos e Serviços'!$A:$F,3,0)</f>
        <v>Composição</v>
      </c>
      <c r="B536" s="116" t="s">
        <v>1178</v>
      </c>
      <c r="C536" s="116" t="str">
        <f>VLOOKUP(B536,'Insumos e Serviços'!$A:$F,2,0)</f>
        <v>SINAPI</v>
      </c>
      <c r="D536" s="117" t="str">
        <f>VLOOKUP(B536,'Insumos e Serviços'!$A:$F,4,0)</f>
        <v>UNIÃO, PVC, SOLDÁVEL, DN 60MM, INSTALADO EM PRUMADA DE ÁGUA - FORNECIMENTO E INSTALAÇÃO. AF_12/2014</v>
      </c>
      <c r="E536" s="116" t="str">
        <f>VLOOKUP(B536,'Insumos e Serviços'!$A:$F,5,0)</f>
        <v>UN</v>
      </c>
      <c r="F536" s="125">
        <v>0.227</v>
      </c>
      <c r="G536" s="118">
        <f>VLOOKUP(B536,'Insumos e Serviços'!$A:$F,6,0)</f>
        <v>105.79</v>
      </c>
      <c r="H536" s="118">
        <f t="shared" si="22"/>
        <v>24.01</v>
      </c>
    </row>
    <row r="537" spans="1:8" ht="33.75">
      <c r="A537" s="115" t="str">
        <f>VLOOKUP(B537,'Insumos e Serviços'!$A:$F,3,0)</f>
        <v>Composição</v>
      </c>
      <c r="B537" s="116" t="s">
        <v>1180</v>
      </c>
      <c r="C537" s="116" t="str">
        <f>VLOOKUP(B537,'Insumos e Serviços'!$A:$F,2,0)</f>
        <v>SINAPI</v>
      </c>
      <c r="D537" s="117" t="str">
        <f>VLOOKUP(B537,'Insumos e Serviços'!$A:$F,4,0)</f>
        <v>ADAPTADOR CURTO COM BOLSA E ROSCA PARA REGISTRO, PVC, SOLDÁVEL, DN 60MM X 2, INSTALADO EM PRUMADA DE ÁGUA - FORNECIMENTO E INSTALAÇÃO. AF_12/2014</v>
      </c>
      <c r="E537" s="116" t="str">
        <f>VLOOKUP(B537,'Insumos e Serviços'!$A:$F,5,0)</f>
        <v>UN</v>
      </c>
      <c r="F537" s="125">
        <v>0.0751</v>
      </c>
      <c r="G537" s="118">
        <f>VLOOKUP(B537,'Insumos e Serviços'!$A:$F,6,0)</f>
        <v>22.95</v>
      </c>
      <c r="H537" s="118">
        <f t="shared" si="22"/>
        <v>1.72</v>
      </c>
    </row>
    <row r="538" spans="1:8" ht="22.5">
      <c r="A538" s="115" t="str">
        <f>VLOOKUP(B538,'Insumos e Serviços'!$A:$F,3,0)</f>
        <v>Composição</v>
      </c>
      <c r="B538" s="116" t="s">
        <v>1182</v>
      </c>
      <c r="C538" s="116" t="str">
        <f>VLOOKUP(B538,'Insumos e Serviços'!$A:$F,2,0)</f>
        <v>SINAPI</v>
      </c>
      <c r="D538" s="117" t="str">
        <f>VLOOKUP(B538,'Insumos e Serviços'!$A:$F,4,0)</f>
        <v>TE, PVC, SOLDÁVEL, DN 60MM, INSTALADO EM PRUMADA DE ÁGUA - FORNECIMENTO E INSTALAÇÃO. AF_12/2014</v>
      </c>
      <c r="E538" s="116" t="str">
        <f>VLOOKUP(B538,'Insumos e Serviços'!$A:$F,5,0)</f>
        <v>UN</v>
      </c>
      <c r="F538" s="125">
        <v>0.0046</v>
      </c>
      <c r="G538" s="118">
        <f>VLOOKUP(B538,'Insumos e Serviços'!$A:$F,6,0)</f>
        <v>51.51</v>
      </c>
      <c r="H538" s="118">
        <f t="shared" si="22"/>
        <v>0.23</v>
      </c>
    </row>
    <row r="539" spans="1:8" ht="22.5">
      <c r="A539" s="115" t="str">
        <f>VLOOKUP(B539,'Insumos e Serviços'!$A:$F,3,0)</f>
        <v>Composição</v>
      </c>
      <c r="B539" s="116" t="s">
        <v>1184</v>
      </c>
      <c r="C539" s="116" t="str">
        <f>VLOOKUP(B539,'Insumos e Serviços'!$A:$F,2,0)</f>
        <v>SINAPI</v>
      </c>
      <c r="D539" s="117" t="str">
        <f>VLOOKUP(B539,'Insumos e Serviços'!$A:$F,4,0)</f>
        <v>FURO EM ALVENARIA PARA DIÂMETROS MAIORES QUE 40 MM E MENORES OU IGUAIS A 75 MM. AF_05/2015</v>
      </c>
      <c r="E539" s="116" t="str">
        <f>VLOOKUP(B539,'Insumos e Serviços'!$A:$F,5,0)</f>
        <v>UN</v>
      </c>
      <c r="F539" s="125">
        <v>0.0418</v>
      </c>
      <c r="G539" s="118">
        <f>VLOOKUP(B539,'Insumos e Serviços'!$A:$F,6,0)</f>
        <v>32.98</v>
      </c>
      <c r="H539" s="118">
        <f t="shared" si="22"/>
        <v>1.37</v>
      </c>
    </row>
    <row r="540" spans="1:8" ht="22.5">
      <c r="A540" s="115" t="str">
        <f>VLOOKUP(B540,'Insumos e Serviços'!$A:$F,3,0)</f>
        <v>Composição</v>
      </c>
      <c r="B540" s="116" t="s">
        <v>1186</v>
      </c>
      <c r="C540" s="116" t="str">
        <f>VLOOKUP(B540,'Insumos e Serviços'!$A:$F,2,0)</f>
        <v>SINAPI</v>
      </c>
      <c r="D540" s="117" t="str">
        <f>VLOOKUP(B540,'Insumos e Serviços'!$A:$F,4,0)</f>
        <v>PASSANTE TIPO TUBO DE DIÂMETRO MAIORES QUE 40 MM E MENORES OU IGUAIS A 75 MM, FIXADO EM LAJE. AF_05/2015</v>
      </c>
      <c r="E540" s="116" t="str">
        <f>VLOOKUP(B540,'Insumos e Serviços'!$A:$F,5,0)</f>
        <v>UN</v>
      </c>
      <c r="F540" s="125">
        <v>0.1023</v>
      </c>
      <c r="G540" s="118">
        <f>VLOOKUP(B540,'Insumos e Serviços'!$A:$F,6,0)</f>
        <v>5.33</v>
      </c>
      <c r="H540" s="118">
        <f t="shared" si="22"/>
        <v>0.54</v>
      </c>
    </row>
    <row r="541" spans="1:8" ht="33.75">
      <c r="A541" s="115" t="str">
        <f>VLOOKUP(B541,'Insumos e Serviços'!$A:$F,3,0)</f>
        <v>Composição</v>
      </c>
      <c r="B541" s="116" t="s">
        <v>376</v>
      </c>
      <c r="C541" s="116" t="str">
        <f>VLOOKUP(B541,'Insumos e Serviços'!$A:$F,2,0)</f>
        <v>SINAPI</v>
      </c>
      <c r="D541" s="117" t="str">
        <f>VLOOKUP(B541,'Insumos e Serviços'!$A:$F,4,0)</f>
        <v>FIXAÇÃO DE TUBOS HORIZONTAIS DE PVC, CPVC OU COBRE DIÂMETROS MAIORES QUE 40 MM E MENORES OU IGUAIS A 75 MM COM ABRAÇADEIRA METÁLICA FLEXÍVEL 18 MM, FIXADA DIRETAMENTE NA LAJE. AF_05/2015</v>
      </c>
      <c r="E541" s="116" t="str">
        <f>VLOOKUP(B541,'Insumos e Serviços'!$A:$F,5,0)</f>
        <v>M</v>
      </c>
      <c r="F541" s="125">
        <v>0.4457</v>
      </c>
      <c r="G541" s="118">
        <f>VLOOKUP(B541,'Insumos e Serviços'!$A:$F,6,0)</f>
        <v>5.59</v>
      </c>
      <c r="H541" s="118">
        <f t="shared" si="22"/>
        <v>2.49</v>
      </c>
    </row>
    <row r="542" spans="1:8" ht="23.25" thickBot="1">
      <c r="A542" s="115" t="str">
        <f>VLOOKUP(B542,'Insumos e Serviços'!$A:$F,3,0)</f>
        <v>Composição</v>
      </c>
      <c r="B542" s="116" t="s">
        <v>1188</v>
      </c>
      <c r="C542" s="116" t="str">
        <f>VLOOKUP(B542,'Insumos e Serviços'!$A:$F,2,0)</f>
        <v>SINAPI</v>
      </c>
      <c r="D542" s="117" t="str">
        <f>VLOOKUP(B542,'Insumos e Serviços'!$A:$F,4,0)</f>
        <v>CHUMBAMENTO PONTUAL EM PASSAGEM DE TUBO COM DIÂMETROS ENTRE 40 MM E 75 MM. AF_05/2015</v>
      </c>
      <c r="E542" s="116" t="str">
        <f>VLOOKUP(B542,'Insumos e Serviços'!$A:$F,5,0)</f>
        <v>UN</v>
      </c>
      <c r="F542" s="125">
        <v>0.0418</v>
      </c>
      <c r="G542" s="118">
        <f>VLOOKUP(B542,'Insumos e Serviços'!$A:$F,6,0)</f>
        <v>5.11</v>
      </c>
      <c r="H542" s="118">
        <f t="shared" si="22"/>
        <v>0.21</v>
      </c>
    </row>
    <row r="543" spans="1:8" ht="13.5" thickTop="1">
      <c r="A543" s="119"/>
      <c r="B543" s="119"/>
      <c r="C543" s="119"/>
      <c r="D543" s="119"/>
      <c r="E543" s="119"/>
      <c r="F543" s="126"/>
      <c r="G543" s="119"/>
      <c r="H543" s="119"/>
    </row>
    <row r="544" spans="1:8" ht="12.75">
      <c r="A544" s="108" t="s">
        <v>918</v>
      </c>
      <c r="B544" s="109"/>
      <c r="C544" s="109"/>
      <c r="D544" s="108" t="str">
        <f>VLOOKUP(A544,'Orçamento Sintético'!$A:$H,4,0)</f>
        <v>Metais e Acessórios Sanitários</v>
      </c>
      <c r="E544" s="109"/>
      <c r="F544" s="123"/>
      <c r="G544" s="108"/>
      <c r="H544" s="110"/>
    </row>
    <row r="545" spans="1:8" ht="33.75">
      <c r="A545" s="111" t="s">
        <v>921</v>
      </c>
      <c r="B545" s="112" t="str">
        <f>VLOOKUP(A545,'Orçamento Sintético'!$A:$H,2,0)</f>
        <v> MPDFT0887 </v>
      </c>
      <c r="C545" s="112" t="str">
        <f>VLOOKUP(A545,'Orçamento Sintético'!$A:$H,3,0)</f>
        <v>Próprio</v>
      </c>
      <c r="D545" s="113" t="str">
        <f>VLOOKUP(A545,'Orçamento Sintético'!$A:$H,4,0)</f>
        <v>Copia da SINAPI (89987) - REGISTRO DE GAVETA BRUTO, LATÃO, ROSCÁVEL, 1", COM ACABAMENTO E CANOPLA CROMADOS. FORNECIDO E INSTALADO EM RAMAL DE ÁGUA.</v>
      </c>
      <c r="E545" s="112" t="str">
        <f>VLOOKUP(A545,'Orçamento Sintético'!$A:$H,5,0)</f>
        <v>UN</v>
      </c>
      <c r="F545" s="124"/>
      <c r="G545" s="114"/>
      <c r="H545" s="114">
        <f>SUM(H546:H549)</f>
        <v>97.52</v>
      </c>
    </row>
    <row r="546" spans="1:8" ht="22.5">
      <c r="A546" s="115" t="str">
        <f>VLOOKUP(B546,'Insumos e Serviços'!$A:$F,3,0)</f>
        <v>Composição</v>
      </c>
      <c r="B546" s="116" t="s">
        <v>204</v>
      </c>
      <c r="C546" s="116" t="str">
        <f>VLOOKUP(B546,'Insumos e Serviços'!$A:$F,2,0)</f>
        <v>SINAPI</v>
      </c>
      <c r="D546" s="117" t="str">
        <f>VLOOKUP(B546,'Insumos e Serviços'!$A:$F,4,0)</f>
        <v>AUXILIAR DE ENCANADOR OU BOMBEIRO HIDRÁULICO COM ENCARGOS COMPLEMENTARES</v>
      </c>
      <c r="E546" s="116" t="str">
        <f>VLOOKUP(B546,'Insumos e Serviços'!$A:$F,5,0)</f>
        <v>H</v>
      </c>
      <c r="F546" s="125">
        <v>0.23</v>
      </c>
      <c r="G546" s="118">
        <f>VLOOKUP(B546,'Insumos e Serviços'!$A:$F,6,0)</f>
        <v>19.31</v>
      </c>
      <c r="H546" s="118">
        <f>TRUNC(F546*G546,2)</f>
        <v>4.44</v>
      </c>
    </row>
    <row r="547" spans="1:8" ht="12.75">
      <c r="A547" s="115" t="str">
        <f>VLOOKUP(B547,'Insumos e Serviços'!$A:$F,3,0)</f>
        <v>Composição</v>
      </c>
      <c r="B547" s="116" t="s">
        <v>205</v>
      </c>
      <c r="C547" s="116" t="str">
        <f>VLOOKUP(B547,'Insumos e Serviços'!$A:$F,2,0)</f>
        <v>SINAPI</v>
      </c>
      <c r="D547" s="117" t="str">
        <f>VLOOKUP(B547,'Insumos e Serviços'!$A:$F,4,0)</f>
        <v>ENCANADOR OU BOMBEIRO HIDRÁULICO COM ENCARGOS COMPLEMENTARES</v>
      </c>
      <c r="E547" s="116" t="str">
        <f>VLOOKUP(B547,'Insumos e Serviços'!$A:$F,5,0)</f>
        <v>H</v>
      </c>
      <c r="F547" s="125">
        <v>0.3</v>
      </c>
      <c r="G547" s="118">
        <f>VLOOKUP(B547,'Insumos e Serviços'!$A:$F,6,0)</f>
        <v>24.48</v>
      </c>
      <c r="H547" s="118">
        <f>TRUNC(F547*G547,2)</f>
        <v>7.34</v>
      </c>
    </row>
    <row r="548" spans="1:8" ht="12.75">
      <c r="A548" s="115" t="str">
        <f>VLOOKUP(B548,'Insumos e Serviços'!$A:$F,3,0)</f>
        <v>Insumo</v>
      </c>
      <c r="B548" s="116" t="s">
        <v>1120</v>
      </c>
      <c r="C548" s="116" t="str">
        <f>VLOOKUP(B548,'Insumos e Serviços'!$A:$F,2,0)</f>
        <v>SINAPI</v>
      </c>
      <c r="D548" s="117" t="str">
        <f>VLOOKUP(B548,'Insumos e Serviços'!$A:$F,4,0)</f>
        <v>FITA VEDA ROSCA EM ROLOS DE 18 MM X 50 M (L X C)</v>
      </c>
      <c r="E548" s="116" t="str">
        <f>VLOOKUP(B548,'Insumos e Serviços'!$A:$F,5,0)</f>
        <v>UN</v>
      </c>
      <c r="F548" s="125">
        <v>0.013</v>
      </c>
      <c r="G548" s="118">
        <f>VLOOKUP(B548,'Insumos e Serviços'!$A:$F,6,0)</f>
        <v>13.68</v>
      </c>
      <c r="H548" s="118">
        <f>TRUNC(F548*G548,2)</f>
        <v>0.17</v>
      </c>
    </row>
    <row r="549" spans="1:8" ht="23.25" thickBot="1">
      <c r="A549" s="115" t="str">
        <f>VLOOKUP(B549,'Insumos e Serviços'!$A:$F,3,0)</f>
        <v>Insumo</v>
      </c>
      <c r="B549" s="116" t="s">
        <v>1190</v>
      </c>
      <c r="C549" s="116" t="str">
        <f>VLOOKUP(B549,'Insumos e Serviços'!$A:$F,2,0)</f>
        <v>SINAPI</v>
      </c>
      <c r="D549" s="117" t="str">
        <f>VLOOKUP(B549,'Insumos e Serviços'!$A:$F,4,0)</f>
        <v>REGISTRO GAVETA COM ACABAMENTO E CANOPLA CROMADOS, SIMPLES, BITOLA 1 " (REF 1509)</v>
      </c>
      <c r="E549" s="116" t="str">
        <f>VLOOKUP(B549,'Insumos e Serviços'!$A:$F,5,0)</f>
        <v>UN</v>
      </c>
      <c r="F549" s="125">
        <v>1</v>
      </c>
      <c r="G549" s="118">
        <f>VLOOKUP(B549,'Insumos e Serviços'!$A:$F,6,0)</f>
        <v>85.57</v>
      </c>
      <c r="H549" s="118">
        <f>TRUNC(F549*G549,2)</f>
        <v>85.57</v>
      </c>
    </row>
    <row r="550" spans="1:8" ht="13.5" thickTop="1">
      <c r="A550" s="119"/>
      <c r="B550" s="119"/>
      <c r="C550" s="119"/>
      <c r="D550" s="119"/>
      <c r="E550" s="119"/>
      <c r="F550" s="126"/>
      <c r="G550" s="119"/>
      <c r="H550" s="119"/>
    </row>
    <row r="551" spans="1:8" ht="22.5">
      <c r="A551" s="111" t="s">
        <v>926</v>
      </c>
      <c r="B551" s="112" t="str">
        <f>VLOOKUP(A551,'Orçamento Sintético'!$A:$H,2,0)</f>
        <v> MPDFT1614 </v>
      </c>
      <c r="C551" s="112" t="str">
        <f>VLOOKUP(A551,'Orçamento Sintético'!$A:$H,3,0)</f>
        <v>Próprio</v>
      </c>
      <c r="D551" s="113" t="str">
        <f>VLOOKUP(A551,'Orçamento Sintético'!$A:$H,4,0)</f>
        <v>Cópia da Cpos (44.20.150) - Acabamento de metal cromado para registro grande, Deca Linha Flex 4900.C20.GD</v>
      </c>
      <c r="E551" s="112" t="str">
        <f>VLOOKUP(A551,'Orçamento Sintético'!$A:$H,5,0)</f>
        <v>un</v>
      </c>
      <c r="F551" s="124"/>
      <c r="G551" s="114"/>
      <c r="H551" s="114">
        <f>SUM(H552:H553)</f>
        <v>70.14</v>
      </c>
    </row>
    <row r="552" spans="1:8" ht="12.75">
      <c r="A552" s="115" t="str">
        <f>VLOOKUP(B552,'Insumos e Serviços'!$A:$F,3,0)</f>
        <v>Composição</v>
      </c>
      <c r="B552" s="116" t="s">
        <v>205</v>
      </c>
      <c r="C552" s="116" t="str">
        <f>VLOOKUP(B552,'Insumos e Serviços'!$A:$F,2,0)</f>
        <v>SINAPI</v>
      </c>
      <c r="D552" s="117" t="str">
        <f>VLOOKUP(B552,'Insumos e Serviços'!$A:$F,4,0)</f>
        <v>ENCANADOR OU BOMBEIRO HIDRÁULICO COM ENCARGOS COMPLEMENTARES</v>
      </c>
      <c r="E552" s="116" t="str">
        <f>VLOOKUP(B552,'Insumos e Serviços'!$A:$F,5,0)</f>
        <v>H</v>
      </c>
      <c r="F552" s="125">
        <v>0.17</v>
      </c>
      <c r="G552" s="118">
        <f>VLOOKUP(B552,'Insumos e Serviços'!$A:$F,6,0)</f>
        <v>24.48</v>
      </c>
      <c r="H552" s="118">
        <f>TRUNC(F552*G552,2)</f>
        <v>4.16</v>
      </c>
    </row>
    <row r="553" spans="1:8" ht="13.5" thickBot="1">
      <c r="A553" s="115" t="str">
        <f>VLOOKUP(B553,'Insumos e Serviços'!$A:$F,3,0)</f>
        <v>Insumo</v>
      </c>
      <c r="B553" s="116" t="s">
        <v>526</v>
      </c>
      <c r="C553" s="116" t="str">
        <f>VLOOKUP(B553,'Insumos e Serviços'!$A:$F,2,0)</f>
        <v>Próprio</v>
      </c>
      <c r="D553" s="117" t="str">
        <f>VLOOKUP(B553,'Insumos e Serviços'!$A:$F,4,0)</f>
        <v>Acabamento de registro de gaveta cromado Deca Linha Flex, 4900.C20.GD</v>
      </c>
      <c r="E553" s="116" t="str">
        <f>VLOOKUP(B553,'Insumos e Serviços'!$A:$F,5,0)</f>
        <v>un</v>
      </c>
      <c r="F553" s="125">
        <v>1</v>
      </c>
      <c r="G553" s="118">
        <f>VLOOKUP(B553,'Insumos e Serviços'!$A:$F,6,0)</f>
        <v>65.98</v>
      </c>
      <c r="H553" s="118">
        <f>TRUNC(F553*G553,2)</f>
        <v>65.98</v>
      </c>
    </row>
    <row r="554" spans="1:8" ht="13.5" thickTop="1">
      <c r="A554" s="119"/>
      <c r="B554" s="119"/>
      <c r="C554" s="119"/>
      <c r="D554" s="119"/>
      <c r="E554" s="119"/>
      <c r="F554" s="126"/>
      <c r="G554" s="119"/>
      <c r="H554" s="119"/>
    </row>
    <row r="555" spans="1:8" ht="22.5">
      <c r="A555" s="111" t="s">
        <v>929</v>
      </c>
      <c r="B555" s="112" t="str">
        <f>VLOOKUP(A555,'Orçamento Sintético'!$A:$H,2,0)</f>
        <v> MPDFT1615 </v>
      </c>
      <c r="C555" s="112" t="str">
        <f>VLOOKUP(A555,'Orçamento Sintético'!$A:$H,3,0)</f>
        <v>Próprio</v>
      </c>
      <c r="D555" s="113" t="str">
        <f>VLOOKUP(A555,'Orçamento Sintético'!$A:$H,4,0)</f>
        <v>Cópia da Cpos (44.20.150) - Acabamento de metal cromado para registro pequeno, de parede, Deca Linha Flex Plus, 4916.C21.PQ (PcD)</v>
      </c>
      <c r="E555" s="112" t="str">
        <f>VLOOKUP(A555,'Orçamento Sintético'!$A:$H,5,0)</f>
        <v>un</v>
      </c>
      <c r="F555" s="124"/>
      <c r="G555" s="114"/>
      <c r="H555" s="114">
        <f>SUM(H556:H557)</f>
        <v>132.45</v>
      </c>
    </row>
    <row r="556" spans="1:8" ht="12.75">
      <c r="A556" s="115" t="str">
        <f>VLOOKUP(B556,'Insumos e Serviços'!$A:$F,3,0)</f>
        <v>Composição</v>
      </c>
      <c r="B556" s="116" t="s">
        <v>205</v>
      </c>
      <c r="C556" s="116" t="str">
        <f>VLOOKUP(B556,'Insumos e Serviços'!$A:$F,2,0)</f>
        <v>SINAPI</v>
      </c>
      <c r="D556" s="117" t="str">
        <f>VLOOKUP(B556,'Insumos e Serviços'!$A:$F,4,0)</f>
        <v>ENCANADOR OU BOMBEIRO HIDRÁULICO COM ENCARGOS COMPLEMENTARES</v>
      </c>
      <c r="E556" s="116" t="str">
        <f>VLOOKUP(B556,'Insumos e Serviços'!$A:$F,5,0)</f>
        <v>H</v>
      </c>
      <c r="F556" s="125">
        <v>0.17</v>
      </c>
      <c r="G556" s="118">
        <f>VLOOKUP(B556,'Insumos e Serviços'!$A:$F,6,0)</f>
        <v>24.48</v>
      </c>
      <c r="H556" s="118">
        <f>TRUNC(F556*G556,2)</f>
        <v>4.16</v>
      </c>
    </row>
    <row r="557" spans="1:8" ht="23.25" thickBot="1">
      <c r="A557" s="115" t="str">
        <f>VLOOKUP(B557,'Insumos e Serviços'!$A:$F,3,0)</f>
        <v>Insumo</v>
      </c>
      <c r="B557" s="116" t="s">
        <v>512</v>
      </c>
      <c r="C557" s="116" t="str">
        <f>VLOOKUP(B557,'Insumos e Serviços'!$A:$F,2,0)</f>
        <v>Próprio</v>
      </c>
      <c r="D557" s="117" t="str">
        <f>VLOOKUP(B557,'Insumos e Serviços'!$A:$F,4,0)</f>
        <v>Acabamento cromado para registro de gaveta ou pressão com mecanismo 1/2 volta, ref. Deca, Linha Flex Plus 4916.C21.PQ</v>
      </c>
      <c r="E557" s="116" t="str">
        <f>VLOOKUP(B557,'Insumos e Serviços'!$A:$F,5,0)</f>
        <v>un</v>
      </c>
      <c r="F557" s="125">
        <v>1</v>
      </c>
      <c r="G557" s="118">
        <f>VLOOKUP(B557,'Insumos e Serviços'!$A:$F,6,0)</f>
        <v>128.29</v>
      </c>
      <c r="H557" s="118">
        <f>TRUNC(F557*G557,2)</f>
        <v>128.29</v>
      </c>
    </row>
    <row r="558" spans="1:8" ht="13.5" thickTop="1">
      <c r="A558" s="119"/>
      <c r="B558" s="119"/>
      <c r="C558" s="119"/>
      <c r="D558" s="119"/>
      <c r="E558" s="119"/>
      <c r="F558" s="126"/>
      <c r="G558" s="119"/>
      <c r="H558" s="119"/>
    </row>
    <row r="559" spans="1:8" ht="22.5">
      <c r="A559" s="111" t="s">
        <v>932</v>
      </c>
      <c r="B559" s="112" t="str">
        <f>VLOOKUP(A559,'Orçamento Sintético'!$A:$H,2,0)</f>
        <v> MPDFT1613 </v>
      </c>
      <c r="C559" s="112" t="str">
        <f>VLOOKUP(A559,'Orçamento Sintético'!$A:$H,3,0)</f>
        <v>Próprio</v>
      </c>
      <c r="D559" s="113" t="str">
        <f>VLOOKUP(A559,'Orçamento Sintético'!$A:$H,4,0)</f>
        <v>Cópia da Cpos (44.20.150) - Acabamento de metal cromado para registro pequeno, de parede, Deca Linha Flex, 4900.C20.PQ</v>
      </c>
      <c r="E559" s="112" t="str">
        <f>VLOOKUP(A559,'Orçamento Sintético'!$A:$H,5,0)</f>
        <v>un</v>
      </c>
      <c r="F559" s="124"/>
      <c r="G559" s="114"/>
      <c r="H559" s="114">
        <f>SUM(H560:H561)</f>
        <v>59.959999999999994</v>
      </c>
    </row>
    <row r="560" spans="1:8" ht="12.75">
      <c r="A560" s="115" t="str">
        <f>VLOOKUP(B560,'Insumos e Serviços'!$A:$F,3,0)</f>
        <v>Composição</v>
      </c>
      <c r="B560" s="116" t="s">
        <v>205</v>
      </c>
      <c r="C560" s="116" t="str">
        <f>VLOOKUP(B560,'Insumos e Serviços'!$A:$F,2,0)</f>
        <v>SINAPI</v>
      </c>
      <c r="D560" s="117" t="str">
        <f>VLOOKUP(B560,'Insumos e Serviços'!$A:$F,4,0)</f>
        <v>ENCANADOR OU BOMBEIRO HIDRÁULICO COM ENCARGOS COMPLEMENTARES</v>
      </c>
      <c r="E560" s="116" t="str">
        <f>VLOOKUP(B560,'Insumos e Serviços'!$A:$F,5,0)</f>
        <v>H</v>
      </c>
      <c r="F560" s="125">
        <v>0.17</v>
      </c>
      <c r="G560" s="118">
        <f>VLOOKUP(B560,'Insumos e Serviços'!$A:$F,6,0)</f>
        <v>24.48</v>
      </c>
      <c r="H560" s="118">
        <f>TRUNC(F560*G560,2)</f>
        <v>4.16</v>
      </c>
    </row>
    <row r="561" spans="1:8" ht="13.5" thickBot="1">
      <c r="A561" s="115" t="str">
        <f>VLOOKUP(B561,'Insumos e Serviços'!$A:$F,3,0)</f>
        <v>Insumo</v>
      </c>
      <c r="B561" s="116" t="s">
        <v>524</v>
      </c>
      <c r="C561" s="116" t="str">
        <f>VLOOKUP(B561,'Insumos e Serviços'!$A:$F,2,0)</f>
        <v>Próprio</v>
      </c>
      <c r="D561" s="117" t="str">
        <f>VLOOKUP(B561,'Insumos e Serviços'!$A:$F,4,0)</f>
        <v>Acabamento de registro de gaveta cromado Deca Linha Flex, 4900.C20.PQ</v>
      </c>
      <c r="E561" s="116" t="str">
        <f>VLOOKUP(B561,'Insumos e Serviços'!$A:$F,5,0)</f>
        <v>un</v>
      </c>
      <c r="F561" s="125">
        <v>1</v>
      </c>
      <c r="G561" s="118">
        <f>VLOOKUP(B561,'Insumos e Serviços'!$A:$F,6,0)</f>
        <v>55.8</v>
      </c>
      <c r="H561" s="118">
        <f>TRUNC(F561*G561,2)</f>
        <v>55.8</v>
      </c>
    </row>
    <row r="562" spans="1:8" ht="13.5" thickTop="1">
      <c r="A562" s="119"/>
      <c r="B562" s="119"/>
      <c r="C562" s="119"/>
      <c r="D562" s="119"/>
      <c r="E562" s="119"/>
      <c r="F562" s="126"/>
      <c r="G562" s="119"/>
      <c r="H562" s="119"/>
    </row>
    <row r="563" spans="1:8" ht="12.75">
      <c r="A563" s="108" t="s">
        <v>935</v>
      </c>
      <c r="B563" s="109"/>
      <c r="C563" s="109"/>
      <c r="D563" s="108" t="str">
        <f>VLOOKUP(A563,'Orçamento Sintético'!$A:$H,4,0)</f>
        <v>ESGOTOS SANITÁRIOS</v>
      </c>
      <c r="E563" s="109"/>
      <c r="F563" s="123"/>
      <c r="G563" s="108"/>
      <c r="H563" s="110"/>
    </row>
    <row r="564" spans="1:8" ht="12.75">
      <c r="A564" s="108" t="s">
        <v>943</v>
      </c>
      <c r="B564" s="109"/>
      <c r="C564" s="109"/>
      <c r="D564" s="108" t="str">
        <f>VLOOKUP(A564,'Orçamento Sintético'!$A:$H,4,0)</f>
        <v>Acessórios</v>
      </c>
      <c r="E564" s="109"/>
      <c r="F564" s="123"/>
      <c r="G564" s="108"/>
      <c r="H564" s="110"/>
    </row>
    <row r="565" spans="1:8" ht="22.5">
      <c r="A565" s="111" t="s">
        <v>945</v>
      </c>
      <c r="B565" s="112" t="str">
        <f>VLOOKUP(A565,'Orçamento Sintético'!$A:$H,2,0)</f>
        <v> MPDFT0238 </v>
      </c>
      <c r="C565" s="112" t="str">
        <f>VLOOKUP(A565,'Orçamento Sintético'!$A:$H,3,0)</f>
        <v>Próprio</v>
      </c>
      <c r="D565" s="113" t="str">
        <f>VLOOKUP(A565,'Orçamento Sintético'!$A:$H,4,0)</f>
        <v>Copia da SINAPI (89708) - Caixa sifonada, PVC, DN 150x185x75mm, incluindo tampa hermética em aço inox - fornecimento e instalação</v>
      </c>
      <c r="E565" s="112" t="str">
        <f>VLOOKUP(A565,'Orçamento Sintético'!$A:$H,5,0)</f>
        <v>UN</v>
      </c>
      <c r="F565" s="124"/>
      <c r="G565" s="114"/>
      <c r="H565" s="114">
        <f>SUM(H566:H568)</f>
        <v>131.76999999999998</v>
      </c>
    </row>
    <row r="566" spans="1:8" ht="33.75">
      <c r="A566" s="115" t="str">
        <f>VLOOKUP(B566,'Insumos e Serviços'!$A:$F,3,0)</f>
        <v>Composição</v>
      </c>
      <c r="B566" s="116" t="s">
        <v>362</v>
      </c>
      <c r="C566" s="116" t="str">
        <f>VLOOKUP(B566,'Insumos e Serviços'!$A:$F,2,0)</f>
        <v>SINAPI</v>
      </c>
      <c r="D566" s="117" t="str">
        <f>VLOOKUP(B566,'Insumos e Serviços'!$A:$F,4,0)</f>
        <v>CAIXA SIFONADA, PVC, DN 150 X 185 X 75 MM, JUNTA ELÁSTICA, FORNECIDA E INSTALADA EM RAMAL DE DESCARGA OU EM RAMAL DE ESGOTO SANITÁRIO. AF_12/2014</v>
      </c>
      <c r="E566" s="116" t="str">
        <f>VLOOKUP(B566,'Insumos e Serviços'!$A:$F,5,0)</f>
        <v>UN</v>
      </c>
      <c r="F566" s="125">
        <v>1</v>
      </c>
      <c r="G566" s="118">
        <f>VLOOKUP(B566,'Insumos e Serviços'!$A:$F,6,0)</f>
        <v>91.3</v>
      </c>
      <c r="H566" s="118">
        <f>TRUNC(F566*G566,2)</f>
        <v>91.3</v>
      </c>
    </row>
    <row r="567" spans="1:8" ht="12.75">
      <c r="A567" s="115" t="str">
        <f>VLOOKUP(B567,'Insumos e Serviços'!$A:$F,3,0)</f>
        <v>Insumo</v>
      </c>
      <c r="B567" s="116" t="s">
        <v>457</v>
      </c>
      <c r="C567" s="116" t="str">
        <f>VLOOKUP(B567,'Insumos e Serviços'!$A:$F,2,0)</f>
        <v>Próprio</v>
      </c>
      <c r="D567" s="117" t="str">
        <f>VLOOKUP(B567,'Insumos e Serviços'!$A:$F,4,0)</f>
        <v>Tampa hermética em aço inox, DN 150mm, para fechamento de caixa sifonada</v>
      </c>
      <c r="E567" s="116" t="str">
        <f>VLOOKUP(B567,'Insumos e Serviços'!$A:$F,5,0)</f>
        <v>un</v>
      </c>
      <c r="F567" s="125">
        <v>1</v>
      </c>
      <c r="G567" s="118">
        <f>VLOOKUP(B567,'Insumos e Serviços'!$A:$F,6,0)</f>
        <v>26.22</v>
      </c>
      <c r="H567" s="118">
        <f>TRUNC(F567*G567,2)</f>
        <v>26.22</v>
      </c>
    </row>
    <row r="568" spans="1:8" ht="13.5" thickBot="1">
      <c r="A568" s="115" t="str">
        <f>VLOOKUP(B568,'Insumos e Serviços'!$A:$F,3,0)</f>
        <v>Insumo</v>
      </c>
      <c r="B568" s="116" t="s">
        <v>1192</v>
      </c>
      <c r="C568" s="116" t="str">
        <f>VLOOKUP(B568,'Insumos e Serviços'!$A:$F,2,0)</f>
        <v>SINAPI</v>
      </c>
      <c r="D568" s="117" t="str">
        <f>VLOOKUP(B568,'Insumos e Serviços'!$A:$F,4,0)</f>
        <v>ANEL BORRACHA, DN 150 MM, PARA TUBO SERIE REFORCADA ESGOTO PREDIAL</v>
      </c>
      <c r="E568" s="116" t="str">
        <f>VLOOKUP(B568,'Insumos e Serviços'!$A:$F,5,0)</f>
        <v>UN</v>
      </c>
      <c r="F568" s="125">
        <v>1</v>
      </c>
      <c r="G568" s="118">
        <f>VLOOKUP(B568,'Insumos e Serviços'!$A:$F,6,0)</f>
        <v>14.25</v>
      </c>
      <c r="H568" s="118">
        <f>TRUNC(F568*G568,2)</f>
        <v>14.25</v>
      </c>
    </row>
    <row r="569" spans="1:8" ht="13.5" thickTop="1">
      <c r="A569" s="119"/>
      <c r="B569" s="119"/>
      <c r="C569" s="119"/>
      <c r="D569" s="119"/>
      <c r="E569" s="119"/>
      <c r="F569" s="126"/>
      <c r="G569" s="119"/>
      <c r="H569" s="119"/>
    </row>
    <row r="570" spans="1:8" ht="22.5">
      <c r="A570" s="111" t="s">
        <v>950</v>
      </c>
      <c r="B570" s="112" t="str">
        <f>VLOOKUP(A570,'Orçamento Sintético'!$A:$H,2,0)</f>
        <v> MPDFT0878 </v>
      </c>
      <c r="C570" s="112" t="str">
        <f>VLOOKUP(A570,'Orçamento Sintético'!$A:$H,3,0)</f>
        <v>Próprio</v>
      </c>
      <c r="D570" s="113" t="str">
        <f>VLOOKUP(A570,'Orçamento Sintético'!$A:$H,4,0)</f>
        <v>Caixa de inspeção em alvenaria 60x60 com tampa em ferro fundido T33, fundo e laje em concreto.</v>
      </c>
      <c r="E570" s="112" t="str">
        <f>VLOOKUP(A570,'Orçamento Sintético'!$A:$H,5,0)</f>
        <v>un</v>
      </c>
      <c r="F570" s="124"/>
      <c r="G570" s="114"/>
      <c r="H570" s="114">
        <f>SUM(H571:H577)</f>
        <v>1098.0600000000002</v>
      </c>
    </row>
    <row r="571" spans="1:8" ht="33.75">
      <c r="A571" s="115" t="str">
        <f>VLOOKUP(B571,'Insumos e Serviços'!$A:$F,3,0)</f>
        <v>Composição</v>
      </c>
      <c r="B571" s="116" t="s">
        <v>184</v>
      </c>
      <c r="C571" s="116" t="str">
        <f>VLOOKUP(B571,'Insumos e Serviços'!$A:$F,2,0)</f>
        <v>SINAPI</v>
      </c>
      <c r="D571" s="117" t="str">
        <f>VLOOKUP(B571,'Insumos e Serviços'!$A:$F,4,0)</f>
        <v>ALVENARIA DE VEDAÇÃO DE BLOCOS CERÂMICOS MACIÇOS DE 5X10X20CM (ESPESSURA 10CM) E ARGAMASSA DE ASSENTAMENTO COM PREPARO EM BETONEIRA. AF_05/2020</v>
      </c>
      <c r="E571" s="116" t="str">
        <f>VLOOKUP(B571,'Insumos e Serviços'!$A:$F,5,0)</f>
        <v>m²</v>
      </c>
      <c r="F571" s="125">
        <v>2.18</v>
      </c>
      <c r="G571" s="118">
        <f>VLOOKUP(B571,'Insumos e Serviços'!$A:$F,6,0)</f>
        <v>131.45</v>
      </c>
      <c r="H571" s="118">
        <f aca="true" t="shared" si="23" ref="H571:H577">TRUNC(F571*G571,2)</f>
        <v>286.56</v>
      </c>
    </row>
    <row r="572" spans="1:8" ht="33.75">
      <c r="A572" s="115" t="str">
        <f>VLOOKUP(B572,'Insumos e Serviços'!$A:$F,3,0)</f>
        <v>Composição</v>
      </c>
      <c r="B572" s="116" t="s">
        <v>230</v>
      </c>
      <c r="C572" s="116" t="str">
        <f>VLOOKUP(B572,'Insumos e Serviços'!$A:$F,2,0)</f>
        <v>SINAPI</v>
      </c>
      <c r="D572" s="117" t="str">
        <f>VLOOKUP(B572,'Insumos e Serviços'!$A:$F,4,0)</f>
        <v>CHAPISCO APLICADO EM ALVENARIA (COM PRESENÇA DE VÃOS) E ESTRUTURAS DE CONCRETO DE FACHADA, COM COLHER DE PEDREIRO.  ARGAMASSA TRAÇO 1:3 COM PREPARO EM BETONEIRA 400L. AF_06/2014</v>
      </c>
      <c r="E572" s="116" t="str">
        <f>VLOOKUP(B572,'Insumos e Serviços'!$A:$F,5,0)</f>
        <v>m²</v>
      </c>
      <c r="F572" s="125">
        <v>1.8</v>
      </c>
      <c r="G572" s="118">
        <f>VLOOKUP(B572,'Insumos e Serviços'!$A:$F,6,0)</f>
        <v>8.34</v>
      </c>
      <c r="H572" s="118">
        <f t="shared" si="23"/>
        <v>15.01</v>
      </c>
    </row>
    <row r="573" spans="1:8" ht="22.5">
      <c r="A573" s="115" t="str">
        <f>VLOOKUP(B573,'Insumos e Serviços'!$A:$F,3,0)</f>
        <v>Composição</v>
      </c>
      <c r="B573" s="116" t="s">
        <v>1195</v>
      </c>
      <c r="C573" s="116" t="str">
        <f>VLOOKUP(B573,'Insumos e Serviços'!$A:$F,2,0)</f>
        <v>SINAPI</v>
      </c>
      <c r="D573" s="117" t="str">
        <f>VLOOKUP(B573,'Insumos e Serviços'!$A:$F,4,0)</f>
        <v>(COMPOSIÇÃO REPRESENTATIVA) EXECUÇÃO DE ESTRUTURAS DE CONCRETO ARMADO, PARA EDIFICAÇÃO INSTITUCIONAL TÉRREA, FCK = 25 MPA. AF_01/2017</v>
      </c>
      <c r="E573" s="116" t="str">
        <f>VLOOKUP(B573,'Insumos e Serviços'!$A:$F,5,0)</f>
        <v>m³</v>
      </c>
      <c r="F573" s="125">
        <v>0.1445</v>
      </c>
      <c r="G573" s="118">
        <f>VLOOKUP(B573,'Insumos e Serviços'!$A:$F,6,0)</f>
        <v>3511.29</v>
      </c>
      <c r="H573" s="118">
        <f t="shared" si="23"/>
        <v>507.38</v>
      </c>
    </row>
    <row r="574" spans="1:8" ht="45">
      <c r="A574" s="115" t="str">
        <f>VLOOKUP(B574,'Insumos e Serviços'!$A:$F,3,0)</f>
        <v>Composição</v>
      </c>
      <c r="B574" s="116" t="s">
        <v>1197</v>
      </c>
      <c r="C574" s="116" t="str">
        <f>VLOOKUP(B574,'Insumos e Serviços'!$A:$F,2,0)</f>
        <v>SINAPI</v>
      </c>
      <c r="D574" s="117" t="str">
        <f>VLOOKUP(B574,'Insumos e Serviços'!$A:$F,4,0)</f>
        <v>(COMPOSIÇÃO REPRESENTATIVA) DO SERVIÇO DE EMBOÇO/MASSA ÚNICA, TRAÇO 1:2:8, PREPARO MECÂNICO, COM BETONEIRA DE 400L, EM PAREDES DE AMBIENTES INTERNOS, COM EXECUÇÃO DE TALISCAS, PARA EDIFICAÇÃO HABITACIONAL MULTIFAMILIAR (PRÉDIO). AF_11/2014</v>
      </c>
      <c r="E574" s="116" t="str">
        <f>VLOOKUP(B574,'Insumos e Serviços'!$A:$F,5,0)</f>
        <v>m²</v>
      </c>
      <c r="F574" s="125">
        <v>1.8</v>
      </c>
      <c r="G574" s="118">
        <f>VLOOKUP(B574,'Insumos e Serviços'!$A:$F,6,0)</f>
        <v>36.51</v>
      </c>
      <c r="H574" s="118">
        <f t="shared" si="23"/>
        <v>65.71</v>
      </c>
    </row>
    <row r="575" spans="1:8" ht="22.5">
      <c r="A575" s="115" t="str">
        <f>VLOOKUP(B575,'Insumos e Serviços'!$A:$F,3,0)</f>
        <v>Composição</v>
      </c>
      <c r="B575" s="116" t="s">
        <v>195</v>
      </c>
      <c r="C575" s="116" t="str">
        <f>VLOOKUP(B575,'Insumos e Serviços'!$A:$F,2,0)</f>
        <v>SINAPI</v>
      </c>
      <c r="D575" s="117" t="str">
        <f>VLOOKUP(B575,'Insumos e Serviços'!$A:$F,4,0)</f>
        <v>ESCAVAÇÃO MANUAL DE VALA COM PROFUNDIDADE MENOR OU IGUAL A 1,30 M. AF_03/2016</v>
      </c>
      <c r="E575" s="116" t="str">
        <f>VLOOKUP(B575,'Insumos e Serviços'!$A:$F,5,0)</f>
        <v>m³</v>
      </c>
      <c r="F575" s="125">
        <v>1</v>
      </c>
      <c r="G575" s="118">
        <f>VLOOKUP(B575,'Insumos e Serviços'!$A:$F,6,0)</f>
        <v>73.77</v>
      </c>
      <c r="H575" s="118">
        <f t="shared" si="23"/>
        <v>73.77</v>
      </c>
    </row>
    <row r="576" spans="1:8" ht="45">
      <c r="A576" s="115" t="str">
        <f>VLOOKUP(B576,'Insumos e Serviços'!$A:$F,3,0)</f>
        <v>Composição</v>
      </c>
      <c r="B576" s="116" t="s">
        <v>354</v>
      </c>
      <c r="C576" s="116" t="str">
        <f>VLOOKUP(B576,'Insumos e Serviços'!$A:$F,2,0)</f>
        <v>SINAPI</v>
      </c>
      <c r="D576" s="117" t="str">
        <f>VLOOKUP(B576,'Insumos e Serviços'!$A:$F,4,0)</f>
        <v>(COMPOSIÇÃO REPRESENTATIVA) DO SERVIÇO DE INST. TUBO PVC, SÉRIE N, ESGOTO PREDIAL, 100 MM (INST. RAMAL DESCARGA, RAMAL DE ESG. SANIT., PRUMADA ESG. SANIT., VENTILAÇÃO OU SUB-COLETOR AÉREO), INCL. CONEXÕES E CORTES, FIXAÇÕES, P/ PRÉDIOS. AF_10/2015</v>
      </c>
      <c r="E576" s="116" t="str">
        <f>VLOOKUP(B576,'Insumos e Serviços'!$A:$F,5,0)</f>
        <v>M</v>
      </c>
      <c r="F576" s="125">
        <v>0.3</v>
      </c>
      <c r="G576" s="118">
        <f>VLOOKUP(B576,'Insumos e Serviços'!$A:$F,6,0)</f>
        <v>74.45</v>
      </c>
      <c r="H576" s="118">
        <f t="shared" si="23"/>
        <v>22.33</v>
      </c>
    </row>
    <row r="577" spans="1:8" ht="13.5" thickBot="1">
      <c r="A577" s="115" t="str">
        <f>VLOOKUP(B577,'Insumos e Serviços'!$A:$F,3,0)</f>
        <v>Insumo</v>
      </c>
      <c r="B577" s="116" t="s">
        <v>485</v>
      </c>
      <c r="C577" s="116" t="str">
        <f>VLOOKUP(B577,'Insumos e Serviços'!$A:$F,2,0)</f>
        <v>Próprio</v>
      </c>
      <c r="D577" s="117" t="str">
        <f>VLOOKUP(B577,'Insumos e Serviços'!$A:$F,4,0)</f>
        <v>Tampão Esgoto Simples T33 Ferro Fundido 52x42cm</v>
      </c>
      <c r="E577" s="116" t="str">
        <f>VLOOKUP(B577,'Insumos e Serviços'!$A:$F,5,0)</f>
        <v>un</v>
      </c>
      <c r="F577" s="125">
        <v>1</v>
      </c>
      <c r="G577" s="118">
        <f>VLOOKUP(B577,'Insumos e Serviços'!$A:$F,6,0)</f>
        <v>127.3</v>
      </c>
      <c r="H577" s="118">
        <f t="shared" si="23"/>
        <v>127.3</v>
      </c>
    </row>
    <row r="578" spans="1:8" ht="13.5" thickTop="1">
      <c r="A578" s="119"/>
      <c r="B578" s="119"/>
      <c r="C578" s="119"/>
      <c r="D578" s="119"/>
      <c r="E578" s="119"/>
      <c r="F578" s="126"/>
      <c r="G578" s="119"/>
      <c r="H578" s="119"/>
    </row>
    <row r="579" spans="1:8" ht="12.75">
      <c r="A579" s="108" t="s">
        <v>953</v>
      </c>
      <c r="B579" s="109"/>
      <c r="C579" s="109"/>
      <c r="D579" s="108" t="str">
        <f>VLOOKUP(A579,'Orçamento Sintético'!$A:$H,4,0)</f>
        <v>DRENAGEM DE ÁGUAS PLUVIAIS</v>
      </c>
      <c r="E579" s="109"/>
      <c r="F579" s="123"/>
      <c r="G579" s="108"/>
      <c r="H579" s="110"/>
    </row>
    <row r="580" spans="1:8" ht="12.75">
      <c r="A580" s="108" t="s">
        <v>955</v>
      </c>
      <c r="B580" s="109"/>
      <c r="C580" s="109"/>
      <c r="D580" s="108" t="str">
        <f>VLOOKUP(A580,'Orçamento Sintético'!$A:$H,4,0)</f>
        <v>Tubulações e Conexões de PVC</v>
      </c>
      <c r="E580" s="109"/>
      <c r="F580" s="123"/>
      <c r="G580" s="108"/>
      <c r="H580" s="110"/>
    </row>
    <row r="581" spans="1:8" ht="33.75">
      <c r="A581" s="111" t="s">
        <v>956</v>
      </c>
      <c r="B581" s="112" t="str">
        <f>VLOOKUP(A581,'Orçamento Sintético'!$A:$H,2,0)</f>
        <v> MPDFT0924 </v>
      </c>
      <c r="C581" s="112" t="str">
        <f>VLOOKUP(A581,'Orçamento Sintético'!$A:$H,3,0)</f>
        <v>Próprio</v>
      </c>
      <c r="D581" s="113" t="str">
        <f>VLOOKUP(A581,'Orçamento Sintético'!$A:$H,4,0)</f>
        <v>Copia da SINAPI (91788) - (Composição representativa) do serviço de instalação de tubos de PVC, soldável, água fria, DN 75 mm (instalado em prumada), inclusive conexões, cortes e fixações, para prédios</v>
      </c>
      <c r="E581" s="112" t="str">
        <f>VLOOKUP(A581,'Orçamento Sintético'!$A:$H,5,0)</f>
        <v>M</v>
      </c>
      <c r="F581" s="124"/>
      <c r="G581" s="114"/>
      <c r="H581" s="114">
        <f>SUM(H582:H592)</f>
        <v>173.32999999999998</v>
      </c>
    </row>
    <row r="582" spans="1:8" ht="22.5">
      <c r="A582" s="115" t="str">
        <f>VLOOKUP(B582,'Insumos e Serviços'!$A:$F,3,0)</f>
        <v>Composição</v>
      </c>
      <c r="B582" s="116" t="s">
        <v>1184</v>
      </c>
      <c r="C582" s="116" t="str">
        <f>VLOOKUP(B582,'Insumos e Serviços'!$A:$F,2,0)</f>
        <v>SINAPI</v>
      </c>
      <c r="D582" s="117" t="str">
        <f>VLOOKUP(B582,'Insumos e Serviços'!$A:$F,4,0)</f>
        <v>FURO EM ALVENARIA PARA DIÂMETROS MAIORES QUE 40 MM E MENORES OU IGUAIS A 75 MM. AF_05/2015</v>
      </c>
      <c r="E582" s="116" t="str">
        <f>VLOOKUP(B582,'Insumos e Serviços'!$A:$F,5,0)</f>
        <v>UN</v>
      </c>
      <c r="F582" s="125">
        <v>0.0418</v>
      </c>
      <c r="G582" s="118">
        <f>VLOOKUP(B582,'Insumos e Serviços'!$A:$F,6,0)</f>
        <v>32.98</v>
      </c>
      <c r="H582" s="118">
        <f aca="true" t="shared" si="24" ref="H582:H592">TRUNC(F582*G582,2)</f>
        <v>1.37</v>
      </c>
    </row>
    <row r="583" spans="1:8" ht="22.5">
      <c r="A583" s="115" t="str">
        <f>VLOOKUP(B583,'Insumos e Serviços'!$A:$F,3,0)</f>
        <v>Composição</v>
      </c>
      <c r="B583" s="116" t="s">
        <v>1186</v>
      </c>
      <c r="C583" s="116" t="str">
        <f>VLOOKUP(B583,'Insumos e Serviços'!$A:$F,2,0)</f>
        <v>SINAPI</v>
      </c>
      <c r="D583" s="117" t="str">
        <f>VLOOKUP(B583,'Insumos e Serviços'!$A:$F,4,0)</f>
        <v>PASSANTE TIPO TUBO DE DIÂMETRO MAIORES QUE 40 MM E MENORES OU IGUAIS A 75 MM, FIXADO EM LAJE. AF_05/2015</v>
      </c>
      <c r="E583" s="116" t="str">
        <f>VLOOKUP(B583,'Insumos e Serviços'!$A:$F,5,0)</f>
        <v>UN</v>
      </c>
      <c r="F583" s="125">
        <v>0.1023</v>
      </c>
      <c r="G583" s="118">
        <f>VLOOKUP(B583,'Insumos e Serviços'!$A:$F,6,0)</f>
        <v>5.33</v>
      </c>
      <c r="H583" s="118">
        <f t="shared" si="24"/>
        <v>0.54</v>
      </c>
    </row>
    <row r="584" spans="1:8" ht="33.75">
      <c r="A584" s="115" t="str">
        <f>VLOOKUP(B584,'Insumos e Serviços'!$A:$F,3,0)</f>
        <v>Composição</v>
      </c>
      <c r="B584" s="116" t="s">
        <v>376</v>
      </c>
      <c r="C584" s="116" t="str">
        <f>VLOOKUP(B584,'Insumos e Serviços'!$A:$F,2,0)</f>
        <v>SINAPI</v>
      </c>
      <c r="D584" s="117" t="str">
        <f>VLOOKUP(B584,'Insumos e Serviços'!$A:$F,4,0)</f>
        <v>FIXAÇÃO DE TUBOS HORIZONTAIS DE PVC, CPVC OU COBRE DIÂMETROS MAIORES QUE 40 MM E MENORES OU IGUAIS A 75 MM COM ABRAÇADEIRA METÁLICA FLEXÍVEL 18 MM, FIXADA DIRETAMENTE NA LAJE. AF_05/2015</v>
      </c>
      <c r="E584" s="116" t="str">
        <f>VLOOKUP(B584,'Insumos e Serviços'!$A:$F,5,0)</f>
        <v>M</v>
      </c>
      <c r="F584" s="125">
        <v>0.4457</v>
      </c>
      <c r="G584" s="118">
        <f>VLOOKUP(B584,'Insumos e Serviços'!$A:$F,6,0)</f>
        <v>5.59</v>
      </c>
      <c r="H584" s="118">
        <f t="shared" si="24"/>
        <v>2.49</v>
      </c>
    </row>
    <row r="585" spans="1:8" ht="22.5">
      <c r="A585" s="115" t="str">
        <f>VLOOKUP(B585,'Insumos e Serviços'!$A:$F,3,0)</f>
        <v>Composição</v>
      </c>
      <c r="B585" s="116" t="s">
        <v>1188</v>
      </c>
      <c r="C585" s="116" t="str">
        <f>VLOOKUP(B585,'Insumos e Serviços'!$A:$F,2,0)</f>
        <v>SINAPI</v>
      </c>
      <c r="D585" s="117" t="str">
        <f>VLOOKUP(B585,'Insumos e Serviços'!$A:$F,4,0)</f>
        <v>CHUMBAMENTO PONTUAL EM PASSAGEM DE TUBO COM DIÂMETROS ENTRE 40 MM E 75 MM. AF_05/2015</v>
      </c>
      <c r="E585" s="116" t="str">
        <f>VLOOKUP(B585,'Insumos e Serviços'!$A:$F,5,0)</f>
        <v>UN</v>
      </c>
      <c r="F585" s="125">
        <v>0.0418</v>
      </c>
      <c r="G585" s="118">
        <f>VLOOKUP(B585,'Insumos e Serviços'!$A:$F,6,0)</f>
        <v>5.11</v>
      </c>
      <c r="H585" s="118">
        <f t="shared" si="24"/>
        <v>0.21</v>
      </c>
    </row>
    <row r="586" spans="1:8" ht="22.5">
      <c r="A586" s="115" t="str">
        <f>VLOOKUP(B586,'Insumos e Serviços'!$A:$F,3,0)</f>
        <v>Composição</v>
      </c>
      <c r="B586" s="116" t="s">
        <v>1199</v>
      </c>
      <c r="C586" s="116" t="str">
        <f>VLOOKUP(B586,'Insumos e Serviços'!$A:$F,2,0)</f>
        <v>SINAPI</v>
      </c>
      <c r="D586" s="117" t="str">
        <f>VLOOKUP(B586,'Insumos e Serviços'!$A:$F,4,0)</f>
        <v>TUBO, PVC, SOLDÁVEL, DN 75MM, INSTALADO EM PRUMADA DE ÁGUA - FORNECIMENTO E INSTALAÇÃO. AF_12/2014</v>
      </c>
      <c r="E586" s="116" t="str">
        <f>VLOOKUP(B586,'Insumos e Serviços'!$A:$F,5,0)</f>
        <v>M</v>
      </c>
      <c r="F586" s="125">
        <v>1</v>
      </c>
      <c r="G586" s="118">
        <f>VLOOKUP(B586,'Insumos e Serviços'!$A:$F,6,0)</f>
        <v>54.52</v>
      </c>
      <c r="H586" s="118">
        <f t="shared" si="24"/>
        <v>54.52</v>
      </c>
    </row>
    <row r="587" spans="1:8" ht="22.5">
      <c r="A587" s="115" t="str">
        <f>VLOOKUP(B587,'Insumos e Serviços'!$A:$F,3,0)</f>
        <v>Composição</v>
      </c>
      <c r="B587" s="116" t="s">
        <v>1201</v>
      </c>
      <c r="C587" s="116" t="str">
        <f>VLOOKUP(B587,'Insumos e Serviços'!$A:$F,2,0)</f>
        <v>SINAPI</v>
      </c>
      <c r="D587" s="117" t="str">
        <f>VLOOKUP(B587,'Insumos e Serviços'!$A:$F,4,0)</f>
        <v>JOELHO 45 GRAUS, PVC, SOLDÁVEL, DN 75MM, INSTALADO EM PRUMADA DE ÁGUA - FORNECIMENTO E INSTALAÇÃO. AF_12/2014</v>
      </c>
      <c r="E587" s="116" t="str">
        <f>VLOOKUP(B587,'Insumos e Serviços'!$A:$F,5,0)</f>
        <v>UN</v>
      </c>
      <c r="F587" s="125">
        <v>0.1948</v>
      </c>
      <c r="G587" s="118">
        <f>VLOOKUP(B587,'Insumos e Serviços'!$A:$F,6,0)</f>
        <v>96.73</v>
      </c>
      <c r="H587" s="118">
        <f t="shared" si="24"/>
        <v>18.84</v>
      </c>
    </row>
    <row r="588" spans="1:8" ht="22.5">
      <c r="A588" s="115" t="str">
        <f>VLOOKUP(B588,'Insumos e Serviços'!$A:$F,3,0)</f>
        <v>Composição</v>
      </c>
      <c r="B588" s="116" t="s">
        <v>1203</v>
      </c>
      <c r="C588" s="116" t="str">
        <f>VLOOKUP(B588,'Insumos e Serviços'!$A:$F,2,0)</f>
        <v>SINAPI</v>
      </c>
      <c r="D588" s="117" t="str">
        <f>VLOOKUP(B588,'Insumos e Serviços'!$A:$F,4,0)</f>
        <v>LUVA, PVC, SOLDÁVEL, DN 75MM, INSTALADO EM PRUMADA DE ÁGUA - FORNECIMENTO E INSTALAÇÃO. AF_12/2014</v>
      </c>
      <c r="E588" s="116" t="str">
        <f>VLOOKUP(B588,'Insumos e Serviços'!$A:$F,5,0)</f>
        <v>UN</v>
      </c>
      <c r="F588" s="125">
        <v>0.2146</v>
      </c>
      <c r="G588" s="118">
        <f>VLOOKUP(B588,'Insumos e Serviços'!$A:$F,6,0)</f>
        <v>37.77</v>
      </c>
      <c r="H588" s="118">
        <f t="shared" si="24"/>
        <v>8.1</v>
      </c>
    </row>
    <row r="589" spans="1:8" ht="22.5">
      <c r="A589" s="115" t="str">
        <f>VLOOKUP(B589,'Insumos e Serviços'!$A:$F,3,0)</f>
        <v>Composição</v>
      </c>
      <c r="B589" s="116" t="s">
        <v>1205</v>
      </c>
      <c r="C589" s="116" t="str">
        <f>VLOOKUP(B589,'Insumos e Serviços'!$A:$F,2,0)</f>
        <v>SINAPI</v>
      </c>
      <c r="D589" s="117" t="str">
        <f>VLOOKUP(B589,'Insumos e Serviços'!$A:$F,4,0)</f>
        <v>UNIÃO, PVC, SOLDÁVEL, DN 75MM, INSTALADO EM PRUMADA DE ÁGUA - FORNECIMENTO E INSTALAÇÃO. AF_12/2014</v>
      </c>
      <c r="E589" s="116" t="str">
        <f>VLOOKUP(B589,'Insumos e Serviços'!$A:$F,5,0)</f>
        <v>UN</v>
      </c>
      <c r="F589" s="125">
        <v>0.227</v>
      </c>
      <c r="G589" s="118">
        <f>VLOOKUP(B589,'Insumos e Serviços'!$A:$F,6,0)</f>
        <v>209.19</v>
      </c>
      <c r="H589" s="118">
        <f t="shared" si="24"/>
        <v>47.48</v>
      </c>
    </row>
    <row r="590" spans="1:8" ht="33.75">
      <c r="A590" s="115" t="str">
        <f>VLOOKUP(B590,'Insumos e Serviços'!$A:$F,3,0)</f>
        <v>Composição</v>
      </c>
      <c r="B590" s="116" t="s">
        <v>1207</v>
      </c>
      <c r="C590" s="116" t="str">
        <f>VLOOKUP(B590,'Insumos e Serviços'!$A:$F,2,0)</f>
        <v>SINAPI</v>
      </c>
      <c r="D590" s="117" t="str">
        <f>VLOOKUP(B590,'Insumos e Serviços'!$A:$F,4,0)</f>
        <v>ADAPTADOR CURTO COM BOLSA E ROSCA PARA REGISTRO, PVC, SOLDÁVEL, DN 75MM X 2.1/2, INSTALADO EM PRUMADA DE ÁGUA - FORNECIMENTO E INSTALAÇÃO. AF_12/2014</v>
      </c>
      <c r="E590" s="116" t="str">
        <f>VLOOKUP(B590,'Insumos e Serviços'!$A:$F,5,0)</f>
        <v>UN</v>
      </c>
      <c r="F590" s="125">
        <v>0.0751</v>
      </c>
      <c r="G590" s="118">
        <f>VLOOKUP(B590,'Insumos e Serviços'!$A:$F,6,0)</f>
        <v>33.48</v>
      </c>
      <c r="H590" s="118">
        <f t="shared" si="24"/>
        <v>2.51</v>
      </c>
    </row>
    <row r="591" spans="1:8" ht="22.5">
      <c r="A591" s="115" t="str">
        <f>VLOOKUP(B591,'Insumos e Serviços'!$A:$F,3,0)</f>
        <v>Composição</v>
      </c>
      <c r="B591" s="116" t="s">
        <v>1209</v>
      </c>
      <c r="C591" s="116" t="str">
        <f>VLOOKUP(B591,'Insumos e Serviços'!$A:$F,2,0)</f>
        <v>SINAPI</v>
      </c>
      <c r="D591" s="117" t="str">
        <f>VLOOKUP(B591,'Insumos e Serviços'!$A:$F,4,0)</f>
        <v>TE, PVC, SOLDÁVEL, DN 75MM, INSTALADO EM PRUMADA DE ÁGUA - FORNECIMENTO E INSTALAÇÃO. AF_12/2014</v>
      </c>
      <c r="E591" s="116" t="str">
        <f>VLOOKUP(B591,'Insumos e Serviços'!$A:$F,5,0)</f>
        <v>UN</v>
      </c>
      <c r="F591" s="125">
        <v>0.0046</v>
      </c>
      <c r="G591" s="118">
        <f>VLOOKUP(B591,'Insumos e Serviços'!$A:$F,6,0)</f>
        <v>95.6</v>
      </c>
      <c r="H591" s="118">
        <f t="shared" si="24"/>
        <v>0.43</v>
      </c>
    </row>
    <row r="592" spans="1:8" ht="23.25" thickBot="1">
      <c r="A592" s="115" t="str">
        <f>VLOOKUP(B592,'Insumos e Serviços'!$A:$F,3,0)</f>
        <v>Composição</v>
      </c>
      <c r="B592" s="116" t="s">
        <v>1211</v>
      </c>
      <c r="C592" s="116" t="str">
        <f>VLOOKUP(B592,'Insumos e Serviços'!$A:$F,2,0)</f>
        <v>SINAPI</v>
      </c>
      <c r="D592" s="117" t="str">
        <f>VLOOKUP(B592,'Insumos e Serviços'!$A:$F,4,0)</f>
        <v>JOELHO 90 GRAUS, PVC, SOLDÁVEL, DN 75MM, INSTALADO EM PRUMADA DE ÁGUA - FORNECIMENTO E INSTALAÇÃO. AF_12/2014</v>
      </c>
      <c r="E592" s="116" t="str">
        <f>VLOOKUP(B592,'Insumos e Serviços'!$A:$F,5,0)</f>
        <v>UN</v>
      </c>
      <c r="F592" s="125">
        <v>0.2851</v>
      </c>
      <c r="G592" s="118">
        <f>VLOOKUP(B592,'Insumos e Serviços'!$A:$F,6,0)</f>
        <v>129.25</v>
      </c>
      <c r="H592" s="118">
        <f t="shared" si="24"/>
        <v>36.84</v>
      </c>
    </row>
    <row r="593" spans="1:8" ht="13.5" thickTop="1">
      <c r="A593" s="119"/>
      <c r="B593" s="119"/>
      <c r="C593" s="119"/>
      <c r="D593" s="119"/>
      <c r="E593" s="119"/>
      <c r="F593" s="126"/>
      <c r="G593" s="119"/>
      <c r="H593" s="119"/>
    </row>
    <row r="594" spans="1:8" ht="33.75">
      <c r="A594" s="111" t="s">
        <v>960</v>
      </c>
      <c r="B594" s="112" t="str">
        <f>VLOOKUP(A594,'Orçamento Sintético'!$A:$H,2,0)</f>
        <v> MPDFT0513 </v>
      </c>
      <c r="C594" s="112" t="str">
        <f>VLOOKUP(A594,'Orçamento Sintético'!$A:$H,3,0)</f>
        <v>Próprio</v>
      </c>
      <c r="D594" s="113" t="str">
        <f>VLOOKUP(A594,'Orçamento Sintético'!$A:$H,4,0)</f>
        <v>Cópia da Sinapi (91788) - (Composição representativa) do serviço de instalação de tubos de PVC, soldável, água fria, DN 60mm (instalado em prumada), inclusive conexões, cortes e fixações, para prédios.</v>
      </c>
      <c r="E594" s="112" t="str">
        <f>VLOOKUP(A594,'Orçamento Sintético'!$A:$H,5,0)</f>
        <v>m</v>
      </c>
      <c r="F594" s="124"/>
      <c r="G594" s="114"/>
      <c r="H594" s="114">
        <f>SUM(H595:H605)</f>
        <v>88.85000000000001</v>
      </c>
    </row>
    <row r="595" spans="1:8" ht="22.5">
      <c r="A595" s="115" t="str">
        <f>VLOOKUP(B595,'Insumos e Serviços'!$A:$F,3,0)</f>
        <v>Composição</v>
      </c>
      <c r="B595" s="116" t="s">
        <v>1170</v>
      </c>
      <c r="C595" s="116" t="str">
        <f>VLOOKUP(B595,'Insumos e Serviços'!$A:$F,2,0)</f>
        <v>SINAPI</v>
      </c>
      <c r="D595" s="117" t="str">
        <f>VLOOKUP(B595,'Insumos e Serviços'!$A:$F,4,0)</f>
        <v>TUBO, PVC, SOLDÁVEL, DN 60MM, INSTALADO EM PRUMADA DE ÁGUA - FORNECIMENTO E INSTALAÇÃO. AF_12/2014</v>
      </c>
      <c r="E595" s="116" t="str">
        <f>VLOOKUP(B595,'Insumos e Serviços'!$A:$F,5,0)</f>
        <v>M</v>
      </c>
      <c r="F595" s="125">
        <v>1</v>
      </c>
      <c r="G595" s="118">
        <f>VLOOKUP(B595,'Insumos e Serviços'!$A:$F,6,0)</f>
        <v>32.93</v>
      </c>
      <c r="H595" s="118">
        <f>TRUNC(F595*G595,2)</f>
        <v>32.93</v>
      </c>
    </row>
    <row r="596" spans="1:8" ht="22.5">
      <c r="A596" s="115" t="str">
        <f>VLOOKUP(B596,'Insumos e Serviços'!$A:$F,3,0)</f>
        <v>Composição</v>
      </c>
      <c r="B596" s="116" t="s">
        <v>1172</v>
      </c>
      <c r="C596" s="116" t="str">
        <f>VLOOKUP(B596,'Insumos e Serviços'!$A:$F,2,0)</f>
        <v>SINAPI</v>
      </c>
      <c r="D596" s="117" t="str">
        <f>VLOOKUP(B596,'Insumos e Serviços'!$A:$F,4,0)</f>
        <v>JOELHO 90 GRAUS, PVC, SOLDÁVEL, DN 60MM, INSTALADO EM PRUMADA DE ÁGUA - FORNECIMENTO E INSTALAÇÃO. AF_12/2014</v>
      </c>
      <c r="E596" s="116" t="str">
        <f>VLOOKUP(B596,'Insumos e Serviços'!$A:$F,5,0)</f>
        <v>UN</v>
      </c>
      <c r="F596" s="125">
        <v>0.2851</v>
      </c>
      <c r="G596" s="118">
        <f>VLOOKUP(B596,'Insumos e Serviços'!$A:$F,6,0)</f>
        <v>40.44</v>
      </c>
      <c r="H596" s="118">
        <f aca="true" t="shared" si="25" ref="H596:H605">TRUNC(F596*G596,2)</f>
        <v>11.52</v>
      </c>
    </row>
    <row r="597" spans="1:8" ht="22.5">
      <c r="A597" s="115" t="str">
        <f>VLOOKUP(B597,'Insumos e Serviços'!$A:$F,3,0)</f>
        <v>Composição</v>
      </c>
      <c r="B597" s="116" t="s">
        <v>1174</v>
      </c>
      <c r="C597" s="116" t="str">
        <f>VLOOKUP(B597,'Insumos e Serviços'!$A:$F,2,0)</f>
        <v>SINAPI</v>
      </c>
      <c r="D597" s="117" t="str">
        <f>VLOOKUP(B597,'Insumos e Serviços'!$A:$F,4,0)</f>
        <v>JOELHO 45 GRAUS, PVC, SOLDÁVEL, DN 60MM, INSTALADO EM PRUMADA DE ÁGUA - FORNECIMENTO E INSTALAÇÃO. AF_12/2014</v>
      </c>
      <c r="E597" s="116" t="str">
        <f>VLOOKUP(B597,'Insumos e Serviços'!$A:$F,5,0)</f>
        <v>UN</v>
      </c>
      <c r="F597" s="125">
        <v>0.1948</v>
      </c>
      <c r="G597" s="118">
        <f>VLOOKUP(B597,'Insumos e Serviços'!$A:$F,6,0)</f>
        <v>45.78</v>
      </c>
      <c r="H597" s="118">
        <f t="shared" si="25"/>
        <v>8.91</v>
      </c>
    </row>
    <row r="598" spans="1:8" ht="22.5">
      <c r="A598" s="115" t="str">
        <f>VLOOKUP(B598,'Insumos e Serviços'!$A:$F,3,0)</f>
        <v>Composição</v>
      </c>
      <c r="B598" s="116" t="s">
        <v>1176</v>
      </c>
      <c r="C598" s="116" t="str">
        <f>VLOOKUP(B598,'Insumos e Serviços'!$A:$F,2,0)</f>
        <v>SINAPI</v>
      </c>
      <c r="D598" s="117" t="str">
        <f>VLOOKUP(B598,'Insumos e Serviços'!$A:$F,4,0)</f>
        <v>LUVA, PVC, SOLDÁVEL, DN 60MM, INSTALADO EM PRUMADA DE ÁGUA - FORNECIMENTO E INSTALAÇÃO. AF_12/2014</v>
      </c>
      <c r="E598" s="116" t="str">
        <f>VLOOKUP(B598,'Insumos e Serviços'!$A:$F,5,0)</f>
        <v>UN</v>
      </c>
      <c r="F598" s="125">
        <v>0.2146</v>
      </c>
      <c r="G598" s="118">
        <f>VLOOKUP(B598,'Insumos e Serviços'!$A:$F,6,0)</f>
        <v>22.93</v>
      </c>
      <c r="H598" s="118">
        <f t="shared" si="25"/>
        <v>4.92</v>
      </c>
    </row>
    <row r="599" spans="1:8" ht="22.5">
      <c r="A599" s="115" t="str">
        <f>VLOOKUP(B599,'Insumos e Serviços'!$A:$F,3,0)</f>
        <v>Composição</v>
      </c>
      <c r="B599" s="116" t="s">
        <v>1178</v>
      </c>
      <c r="C599" s="116" t="str">
        <f>VLOOKUP(B599,'Insumos e Serviços'!$A:$F,2,0)</f>
        <v>SINAPI</v>
      </c>
      <c r="D599" s="117" t="str">
        <f>VLOOKUP(B599,'Insumos e Serviços'!$A:$F,4,0)</f>
        <v>UNIÃO, PVC, SOLDÁVEL, DN 60MM, INSTALADO EM PRUMADA DE ÁGUA - FORNECIMENTO E INSTALAÇÃO. AF_12/2014</v>
      </c>
      <c r="E599" s="116" t="str">
        <f>VLOOKUP(B599,'Insumos e Serviços'!$A:$F,5,0)</f>
        <v>UN</v>
      </c>
      <c r="F599" s="125">
        <v>0.227</v>
      </c>
      <c r="G599" s="118">
        <f>VLOOKUP(B599,'Insumos e Serviços'!$A:$F,6,0)</f>
        <v>105.79</v>
      </c>
      <c r="H599" s="118">
        <f t="shared" si="25"/>
        <v>24.01</v>
      </c>
    </row>
    <row r="600" spans="1:8" ht="33.75">
      <c r="A600" s="115" t="str">
        <f>VLOOKUP(B600,'Insumos e Serviços'!$A:$F,3,0)</f>
        <v>Composição</v>
      </c>
      <c r="B600" s="116" t="s">
        <v>1180</v>
      </c>
      <c r="C600" s="116" t="str">
        <f>VLOOKUP(B600,'Insumos e Serviços'!$A:$F,2,0)</f>
        <v>SINAPI</v>
      </c>
      <c r="D600" s="117" t="str">
        <f>VLOOKUP(B600,'Insumos e Serviços'!$A:$F,4,0)</f>
        <v>ADAPTADOR CURTO COM BOLSA E ROSCA PARA REGISTRO, PVC, SOLDÁVEL, DN 60MM X 2, INSTALADO EM PRUMADA DE ÁGUA - FORNECIMENTO E INSTALAÇÃO. AF_12/2014</v>
      </c>
      <c r="E600" s="116" t="str">
        <f>VLOOKUP(B600,'Insumos e Serviços'!$A:$F,5,0)</f>
        <v>UN</v>
      </c>
      <c r="F600" s="125">
        <v>0.0751</v>
      </c>
      <c r="G600" s="118">
        <f>VLOOKUP(B600,'Insumos e Serviços'!$A:$F,6,0)</f>
        <v>22.95</v>
      </c>
      <c r="H600" s="118">
        <f t="shared" si="25"/>
        <v>1.72</v>
      </c>
    </row>
    <row r="601" spans="1:8" ht="22.5">
      <c r="A601" s="115" t="str">
        <f>VLOOKUP(B601,'Insumos e Serviços'!$A:$F,3,0)</f>
        <v>Composição</v>
      </c>
      <c r="B601" s="116" t="s">
        <v>1182</v>
      </c>
      <c r="C601" s="116" t="str">
        <f>VLOOKUP(B601,'Insumos e Serviços'!$A:$F,2,0)</f>
        <v>SINAPI</v>
      </c>
      <c r="D601" s="117" t="str">
        <f>VLOOKUP(B601,'Insumos e Serviços'!$A:$F,4,0)</f>
        <v>TE, PVC, SOLDÁVEL, DN 60MM, INSTALADO EM PRUMADA DE ÁGUA - FORNECIMENTO E INSTALAÇÃO. AF_12/2014</v>
      </c>
      <c r="E601" s="116" t="str">
        <f>VLOOKUP(B601,'Insumos e Serviços'!$A:$F,5,0)</f>
        <v>UN</v>
      </c>
      <c r="F601" s="125">
        <v>0.0046</v>
      </c>
      <c r="G601" s="118">
        <f>VLOOKUP(B601,'Insumos e Serviços'!$A:$F,6,0)</f>
        <v>51.51</v>
      </c>
      <c r="H601" s="118">
        <f t="shared" si="25"/>
        <v>0.23</v>
      </c>
    </row>
    <row r="602" spans="1:8" ht="22.5">
      <c r="A602" s="115" t="str">
        <f>VLOOKUP(B602,'Insumos e Serviços'!$A:$F,3,0)</f>
        <v>Composição</v>
      </c>
      <c r="B602" s="116" t="s">
        <v>1184</v>
      </c>
      <c r="C602" s="116" t="str">
        <f>VLOOKUP(B602,'Insumos e Serviços'!$A:$F,2,0)</f>
        <v>SINAPI</v>
      </c>
      <c r="D602" s="117" t="str">
        <f>VLOOKUP(B602,'Insumos e Serviços'!$A:$F,4,0)</f>
        <v>FURO EM ALVENARIA PARA DIÂMETROS MAIORES QUE 40 MM E MENORES OU IGUAIS A 75 MM. AF_05/2015</v>
      </c>
      <c r="E602" s="116" t="str">
        <f>VLOOKUP(B602,'Insumos e Serviços'!$A:$F,5,0)</f>
        <v>UN</v>
      </c>
      <c r="F602" s="125">
        <v>0.0418</v>
      </c>
      <c r="G602" s="118">
        <f>VLOOKUP(B602,'Insumos e Serviços'!$A:$F,6,0)</f>
        <v>32.98</v>
      </c>
      <c r="H602" s="118">
        <f t="shared" si="25"/>
        <v>1.37</v>
      </c>
    </row>
    <row r="603" spans="1:8" ht="22.5">
      <c r="A603" s="115" t="str">
        <f>VLOOKUP(B603,'Insumos e Serviços'!$A:$F,3,0)</f>
        <v>Composição</v>
      </c>
      <c r="B603" s="116" t="s">
        <v>1186</v>
      </c>
      <c r="C603" s="116" t="str">
        <f>VLOOKUP(B603,'Insumos e Serviços'!$A:$F,2,0)</f>
        <v>SINAPI</v>
      </c>
      <c r="D603" s="117" t="str">
        <f>VLOOKUP(B603,'Insumos e Serviços'!$A:$F,4,0)</f>
        <v>PASSANTE TIPO TUBO DE DIÂMETRO MAIORES QUE 40 MM E MENORES OU IGUAIS A 75 MM, FIXADO EM LAJE. AF_05/2015</v>
      </c>
      <c r="E603" s="116" t="str">
        <f>VLOOKUP(B603,'Insumos e Serviços'!$A:$F,5,0)</f>
        <v>UN</v>
      </c>
      <c r="F603" s="125">
        <v>0.1023</v>
      </c>
      <c r="G603" s="118">
        <f>VLOOKUP(B603,'Insumos e Serviços'!$A:$F,6,0)</f>
        <v>5.33</v>
      </c>
      <c r="H603" s="118">
        <f t="shared" si="25"/>
        <v>0.54</v>
      </c>
    </row>
    <row r="604" spans="1:8" ht="33.75">
      <c r="A604" s="115" t="str">
        <f>VLOOKUP(B604,'Insumos e Serviços'!$A:$F,3,0)</f>
        <v>Composição</v>
      </c>
      <c r="B604" s="116" t="s">
        <v>376</v>
      </c>
      <c r="C604" s="116" t="str">
        <f>VLOOKUP(B604,'Insumos e Serviços'!$A:$F,2,0)</f>
        <v>SINAPI</v>
      </c>
      <c r="D604" s="117" t="str">
        <f>VLOOKUP(B604,'Insumos e Serviços'!$A:$F,4,0)</f>
        <v>FIXAÇÃO DE TUBOS HORIZONTAIS DE PVC, CPVC OU COBRE DIÂMETROS MAIORES QUE 40 MM E MENORES OU IGUAIS A 75 MM COM ABRAÇADEIRA METÁLICA FLEXÍVEL 18 MM, FIXADA DIRETAMENTE NA LAJE. AF_05/2015</v>
      </c>
      <c r="E604" s="116" t="str">
        <f>VLOOKUP(B604,'Insumos e Serviços'!$A:$F,5,0)</f>
        <v>M</v>
      </c>
      <c r="F604" s="125">
        <v>0.4457</v>
      </c>
      <c r="G604" s="118">
        <f>VLOOKUP(B604,'Insumos e Serviços'!$A:$F,6,0)</f>
        <v>5.59</v>
      </c>
      <c r="H604" s="118">
        <f t="shared" si="25"/>
        <v>2.49</v>
      </c>
    </row>
    <row r="605" spans="1:8" ht="23.25" thickBot="1">
      <c r="A605" s="115" t="str">
        <f>VLOOKUP(B605,'Insumos e Serviços'!$A:$F,3,0)</f>
        <v>Composição</v>
      </c>
      <c r="B605" s="116" t="s">
        <v>1188</v>
      </c>
      <c r="C605" s="116" t="str">
        <f>VLOOKUP(B605,'Insumos e Serviços'!$A:$F,2,0)</f>
        <v>SINAPI</v>
      </c>
      <c r="D605" s="117" t="str">
        <f>VLOOKUP(B605,'Insumos e Serviços'!$A:$F,4,0)</f>
        <v>CHUMBAMENTO PONTUAL EM PASSAGEM DE TUBO COM DIÂMETROS ENTRE 40 MM E 75 MM. AF_05/2015</v>
      </c>
      <c r="E605" s="116" t="str">
        <f>VLOOKUP(B605,'Insumos e Serviços'!$A:$F,5,0)</f>
        <v>UN</v>
      </c>
      <c r="F605" s="125">
        <v>0.0418</v>
      </c>
      <c r="G605" s="118">
        <f>VLOOKUP(B605,'Insumos e Serviços'!$A:$F,6,0)</f>
        <v>5.11</v>
      </c>
      <c r="H605" s="118">
        <f t="shared" si="25"/>
        <v>0.21</v>
      </c>
    </row>
    <row r="606" spans="1:8" ht="13.5" thickTop="1">
      <c r="A606" s="119"/>
      <c r="B606" s="119"/>
      <c r="C606" s="119"/>
      <c r="D606" s="119"/>
      <c r="E606" s="119"/>
      <c r="F606" s="126"/>
      <c r="G606" s="119"/>
      <c r="H606" s="119"/>
    </row>
    <row r="607" spans="1:8" ht="12.75">
      <c r="A607" s="108" t="s">
        <v>965</v>
      </c>
      <c r="B607" s="109"/>
      <c r="C607" s="109"/>
      <c r="D607" s="108" t="str">
        <f>VLOOKUP(A607,'Orçamento Sintético'!$A:$H,4,0)</f>
        <v>SERVIÇOS DIVERSOS</v>
      </c>
      <c r="E607" s="109"/>
      <c r="F607" s="123"/>
      <c r="G607" s="108"/>
      <c r="H607" s="110"/>
    </row>
    <row r="608" spans="1:8" ht="12.75">
      <c r="A608" s="108" t="s">
        <v>966</v>
      </c>
      <c r="B608" s="109"/>
      <c r="C608" s="109"/>
      <c r="D608" s="108" t="str">
        <f>VLOOKUP(A608,'Orçamento Sintético'!$A:$H,4,0)</f>
        <v>Serviços diversos</v>
      </c>
      <c r="E608" s="109"/>
      <c r="F608" s="123"/>
      <c r="G608" s="108"/>
      <c r="H608" s="110"/>
    </row>
    <row r="609" spans="1:8" ht="22.5">
      <c r="A609" s="111" t="s">
        <v>968</v>
      </c>
      <c r="B609" s="112" t="str">
        <f>VLOOKUP(A609,'Orçamento Sintético'!$A:$H,2,0)</f>
        <v> MPDFT0109 </v>
      </c>
      <c r="C609" s="112" t="str">
        <f>VLOOKUP(A609,'Orçamento Sintético'!$A:$H,3,0)</f>
        <v>Próprio</v>
      </c>
      <c r="D609" s="113" t="str">
        <f>VLOOKUP(A609,'Orçamento Sintético'!$A:$H,4,0)</f>
        <v>Copia da CPOS (04.30.060) - Remoção de tubulação hidráulica em geral, incluindo conexões, caixas e ralos</v>
      </c>
      <c r="E609" s="112" t="str">
        <f>VLOOKUP(A609,'Orçamento Sintético'!$A:$H,5,0)</f>
        <v>m</v>
      </c>
      <c r="F609" s="124"/>
      <c r="G609" s="114"/>
      <c r="H609" s="114">
        <f>SUM(H610:H610)</f>
        <v>7.46</v>
      </c>
    </row>
    <row r="610" spans="1:8" ht="13.5" thickBot="1">
      <c r="A610" s="115" t="str">
        <f>VLOOKUP(B610,'Insumos e Serviços'!$A:$F,3,0)</f>
        <v>Composição</v>
      </c>
      <c r="B610" s="116" t="s">
        <v>200</v>
      </c>
      <c r="C610" s="116" t="str">
        <f>VLOOKUP(B610,'Insumos e Serviços'!$A:$F,2,0)</f>
        <v>SINAPI</v>
      </c>
      <c r="D610" s="117" t="str">
        <f>VLOOKUP(B610,'Insumos e Serviços'!$A:$F,4,0)</f>
        <v>SERVENTE COM ENCARGOS COMPLEMENTARES</v>
      </c>
      <c r="E610" s="116" t="str">
        <f>VLOOKUP(B610,'Insumos e Serviços'!$A:$F,5,0)</f>
        <v>H</v>
      </c>
      <c r="F610" s="125">
        <v>0.4</v>
      </c>
      <c r="G610" s="118">
        <f>VLOOKUP(B610,'Insumos e Serviços'!$A:$F,6,0)</f>
        <v>18.65</v>
      </c>
      <c r="H610" s="118">
        <f>TRUNC(F610*G610,2)</f>
        <v>7.46</v>
      </c>
    </row>
    <row r="611" spans="1:8" ht="13.5" thickTop="1">
      <c r="A611" s="119"/>
      <c r="B611" s="119"/>
      <c r="C611" s="119"/>
      <c r="D611" s="119"/>
      <c r="E611" s="119"/>
      <c r="F611" s="126"/>
      <c r="G611" s="119"/>
      <c r="H611" s="119"/>
    </row>
    <row r="612" spans="1:8" ht="12.75">
      <c r="A612" s="105" t="s">
        <v>130</v>
      </c>
      <c r="B612" s="106"/>
      <c r="C612" s="106"/>
      <c r="D612" s="105" t="str">
        <f>VLOOKUP(A612,'Orçamento Sintético'!$A:$H,4,0)</f>
        <v>INSTALAÇÕES MECÂNICAS E DE UTILIDADES</v>
      </c>
      <c r="E612" s="106"/>
      <c r="F612" s="122"/>
      <c r="G612" s="105"/>
      <c r="H612" s="107"/>
    </row>
    <row r="613" spans="1:8" ht="12.75">
      <c r="A613" s="108" t="s">
        <v>974</v>
      </c>
      <c r="B613" s="109"/>
      <c r="C613" s="109"/>
      <c r="D613" s="108" t="str">
        <f>VLOOKUP(A613,'Orçamento Sintético'!$A:$H,4,0)</f>
        <v>Ar Condicionado Central</v>
      </c>
      <c r="E613" s="109"/>
      <c r="F613" s="123"/>
      <c r="G613" s="108"/>
      <c r="H613" s="110"/>
    </row>
    <row r="614" spans="1:8" ht="12.75">
      <c r="A614" s="108" t="s">
        <v>976</v>
      </c>
      <c r="B614" s="109"/>
      <c r="C614" s="109"/>
      <c r="D614" s="108" t="str">
        <f>VLOOKUP(A614,'Orçamento Sintético'!$A:$H,4,0)</f>
        <v>Redes de Dutos</v>
      </c>
      <c r="E614" s="109"/>
      <c r="F614" s="123"/>
      <c r="G614" s="108"/>
      <c r="H614" s="110"/>
    </row>
    <row r="615" spans="1:8" ht="45">
      <c r="A615" s="111" t="s">
        <v>978</v>
      </c>
      <c r="B615" s="112" t="str">
        <f>VLOOKUP(A615,'Orçamento Sintético'!$A:$H,2,0)</f>
        <v> MPDFT0879 </v>
      </c>
      <c r="C615" s="112" t="str">
        <f>VLOOKUP(A615,'Orçamento Sintético'!$A:$H,3,0)</f>
        <v>Próprio</v>
      </c>
      <c r="D615" s="113" t="str">
        <f>VLOOKUP(A615,'Orçamento Sintético'!$A:$H,4,0)</f>
        <v>Cópia da CPOS (61.10.574) - G2 - Grelha de exaustão, dimensões 225x225mm,  aletas fixas e horizontais, fabricada com perfis de alumínio extrudado, anodizado, na cor natural, incluindo registro de lâminas opostas e dupla deflexão. Modelo de referência: TROX AR/AG</v>
      </c>
      <c r="E615" s="112" t="str">
        <f>VLOOKUP(A615,'Orçamento Sintético'!$A:$H,5,0)</f>
        <v>un</v>
      </c>
      <c r="F615" s="124"/>
      <c r="G615" s="114"/>
      <c r="H615" s="114">
        <f>SUM(H616:H618)</f>
        <v>213.74</v>
      </c>
    </row>
    <row r="616" spans="1:8" ht="12.75">
      <c r="A616" s="115" t="str">
        <f>VLOOKUP(B616,'Insumos e Serviços'!$A:$F,3,0)</f>
        <v>Composição</v>
      </c>
      <c r="B616" s="116" t="s">
        <v>1154</v>
      </c>
      <c r="C616" s="116" t="str">
        <f>VLOOKUP(B616,'Insumos e Serviços'!$A:$F,2,0)</f>
        <v>SINAPI</v>
      </c>
      <c r="D616" s="117" t="str">
        <f>VLOOKUP(B616,'Insumos e Serviços'!$A:$F,4,0)</f>
        <v>MONTADOR DE ELETROELETRÔNICOS COM ENCARGOS COMPLEMENTARES</v>
      </c>
      <c r="E616" s="116" t="str">
        <f>VLOOKUP(B616,'Insumos e Serviços'!$A:$F,5,0)</f>
        <v>H</v>
      </c>
      <c r="F616" s="125">
        <v>3.6</v>
      </c>
      <c r="G616" s="118">
        <f>VLOOKUP(B616,'Insumos e Serviços'!$A:$F,6,0)</f>
        <v>22.43</v>
      </c>
      <c r="H616" s="118">
        <f>TRUNC(F616*G616,2)</f>
        <v>80.74</v>
      </c>
    </row>
    <row r="617" spans="1:8" ht="12.75">
      <c r="A617" s="115" t="str">
        <f>VLOOKUP(B617,'Insumos e Serviços'!$A:$F,3,0)</f>
        <v>Composição</v>
      </c>
      <c r="B617" s="116" t="s">
        <v>1213</v>
      </c>
      <c r="C617" s="116" t="str">
        <f>VLOOKUP(B617,'Insumos e Serviços'!$A:$F,2,0)</f>
        <v>SINAPI</v>
      </c>
      <c r="D617" s="117" t="str">
        <f>VLOOKUP(B617,'Insumos e Serviços'!$A:$F,4,0)</f>
        <v>AJUDANTE DE OPERAÇÃO EM GERAL COM ENCARGOS COMPLEMENTARES</v>
      </c>
      <c r="E617" s="116" t="str">
        <f>VLOOKUP(B617,'Insumos e Serviços'!$A:$F,5,0)</f>
        <v>H</v>
      </c>
      <c r="F617" s="125">
        <v>3.6</v>
      </c>
      <c r="G617" s="118">
        <f>VLOOKUP(B617,'Insumos e Serviços'!$A:$F,6,0)</f>
        <v>21.41</v>
      </c>
      <c r="H617" s="118">
        <f>TRUNC(F617*G617,2)</f>
        <v>77.07</v>
      </c>
    </row>
    <row r="618" spans="1:8" ht="34.5" thickBot="1">
      <c r="A618" s="115" t="str">
        <f>VLOOKUP(B618,'Insumos e Serviços'!$A:$F,3,0)</f>
        <v>Insumo</v>
      </c>
      <c r="B618" s="116" t="s">
        <v>481</v>
      </c>
      <c r="C618" s="116" t="str">
        <f>VLOOKUP(B618,'Insumos e Serviços'!$A:$F,2,0)</f>
        <v>Próprio</v>
      </c>
      <c r="D618" s="117" t="str">
        <f>VLOOKUP(B618,'Insumos e Serviços'!$A:$F,4,0)</f>
        <v>Grelha de exaustão, dimensões 225x225mm, aletas fixas e horizontais, fabricada com perfis de alumínio extrudado, anodizado, na cor natural, incluindo registro de lâminas opostas e dupla deflexão. Modelo de referência: TROX AR/AG</v>
      </c>
      <c r="E618" s="116" t="str">
        <f>VLOOKUP(B618,'Insumos e Serviços'!$A:$F,5,0)</f>
        <v>un</v>
      </c>
      <c r="F618" s="125">
        <v>1</v>
      </c>
      <c r="G618" s="118">
        <f>VLOOKUP(B618,'Insumos e Serviços'!$A:$F,6,0)</f>
        <v>55.93</v>
      </c>
      <c r="H618" s="118">
        <f>TRUNC(F618*G618,2)</f>
        <v>55.93</v>
      </c>
    </row>
    <row r="619" spans="1:8" ht="13.5" thickTop="1">
      <c r="A619" s="119"/>
      <c r="B619" s="119"/>
      <c r="C619" s="119"/>
      <c r="D619" s="119"/>
      <c r="E619" s="119"/>
      <c r="F619" s="126"/>
      <c r="G619" s="119"/>
      <c r="H619" s="119"/>
    </row>
    <row r="620" spans="1:8" ht="33.75">
      <c r="A620" s="111" t="s">
        <v>981</v>
      </c>
      <c r="B620" s="112" t="str">
        <f>VLOOKUP(A620,'Orçamento Sintético'!$A:$H,2,0)</f>
        <v> MPDFT0881 </v>
      </c>
      <c r="C620" s="112" t="str">
        <f>VLOOKUP(A620,'Orçamento Sintético'!$A:$H,3,0)</f>
        <v>Próprio</v>
      </c>
      <c r="D620" s="113" t="str">
        <f>VLOOKUP(A620,'Orçamento Sintético'!$A:$H,4,0)</f>
        <v>Cópia da SBC (073893) - G3 - Grelha de exaustão de plástico para duto flexível diâmetro 100mm, com lâminas inclinadas. Modelo de referência: Soler&amp;Palau OTAM GR-100 ou similar equivalente.</v>
      </c>
      <c r="E620" s="112" t="str">
        <f>VLOOKUP(A620,'Orçamento Sintético'!$A:$H,5,0)</f>
        <v>un</v>
      </c>
      <c r="F620" s="124"/>
      <c r="G620" s="114"/>
      <c r="H620" s="114">
        <f>SUM(H621:H623)</f>
        <v>52.55</v>
      </c>
    </row>
    <row r="621" spans="1:8" ht="22.5">
      <c r="A621" s="115" t="str">
        <f>VLOOKUP(B621,'Insumos e Serviços'!$A:$F,3,0)</f>
        <v>Composição</v>
      </c>
      <c r="B621" s="116" t="s">
        <v>204</v>
      </c>
      <c r="C621" s="116" t="str">
        <f>VLOOKUP(B621,'Insumos e Serviços'!$A:$F,2,0)</f>
        <v>SINAPI</v>
      </c>
      <c r="D621" s="117" t="str">
        <f>VLOOKUP(B621,'Insumos e Serviços'!$A:$F,4,0)</f>
        <v>AUXILIAR DE ENCANADOR OU BOMBEIRO HIDRÁULICO COM ENCARGOS COMPLEMENTARES</v>
      </c>
      <c r="E621" s="116" t="str">
        <f>VLOOKUP(B621,'Insumos e Serviços'!$A:$F,5,0)</f>
        <v>H</v>
      </c>
      <c r="F621" s="125">
        <v>0.907</v>
      </c>
      <c r="G621" s="118">
        <f>VLOOKUP(B621,'Insumos e Serviços'!$A:$F,6,0)</f>
        <v>19.31</v>
      </c>
      <c r="H621" s="118">
        <f>TRUNC(F621*G621,2)</f>
        <v>17.51</v>
      </c>
    </row>
    <row r="622" spans="1:8" ht="12.75">
      <c r="A622" s="115" t="str">
        <f>VLOOKUP(B622,'Insumos e Serviços'!$A:$F,3,0)</f>
        <v>Composição</v>
      </c>
      <c r="B622" s="116" t="s">
        <v>205</v>
      </c>
      <c r="C622" s="116" t="str">
        <f>VLOOKUP(B622,'Insumos e Serviços'!$A:$F,2,0)</f>
        <v>SINAPI</v>
      </c>
      <c r="D622" s="117" t="str">
        <f>VLOOKUP(B622,'Insumos e Serviços'!$A:$F,4,0)</f>
        <v>ENCANADOR OU BOMBEIRO HIDRÁULICO COM ENCARGOS COMPLEMENTARES</v>
      </c>
      <c r="E622" s="116" t="str">
        <f>VLOOKUP(B622,'Insumos e Serviços'!$A:$F,5,0)</f>
        <v>H</v>
      </c>
      <c r="F622" s="125">
        <v>0.907</v>
      </c>
      <c r="G622" s="118">
        <f>VLOOKUP(B622,'Insumos e Serviços'!$A:$F,6,0)</f>
        <v>24.48</v>
      </c>
      <c r="H622" s="118">
        <f>TRUNC(F622*G622,2)</f>
        <v>22.2</v>
      </c>
    </row>
    <row r="623" spans="1:8" ht="23.25" thickBot="1">
      <c r="A623" s="115" t="str">
        <f>VLOOKUP(B623,'Insumos e Serviços'!$A:$F,3,0)</f>
        <v>Insumo</v>
      </c>
      <c r="B623" s="116" t="s">
        <v>401</v>
      </c>
      <c r="C623" s="116" t="str">
        <f>VLOOKUP(B623,'Insumos e Serviços'!$A:$F,2,0)</f>
        <v>Próprio</v>
      </c>
      <c r="D623" s="117" t="str">
        <f>VLOOKUP(B623,'Insumos e Serviços'!$A:$F,4,0)</f>
        <v>Grelha de exaustão de plástico para duto flexível diâmetro 100mm, com lâminas inclinadas. Modelo de referência: Soler&amp;Palau OTAM GR-100</v>
      </c>
      <c r="E623" s="116" t="str">
        <f>VLOOKUP(B623,'Insumos e Serviços'!$A:$F,5,0)</f>
        <v>un</v>
      </c>
      <c r="F623" s="125">
        <v>1</v>
      </c>
      <c r="G623" s="118">
        <f>VLOOKUP(B623,'Insumos e Serviços'!$A:$F,6,0)</f>
        <v>12.84</v>
      </c>
      <c r="H623" s="118">
        <f>TRUNC(F623*G623,2)</f>
        <v>12.84</v>
      </c>
    </row>
    <row r="624" spans="1:8" ht="13.5" thickTop="1">
      <c r="A624" s="119"/>
      <c r="B624" s="119"/>
      <c r="C624" s="119"/>
      <c r="D624" s="119"/>
      <c r="E624" s="119"/>
      <c r="F624" s="126"/>
      <c r="G624" s="119"/>
      <c r="H624" s="119"/>
    </row>
    <row r="625" spans="1:8" ht="146.25">
      <c r="A625" s="111" t="s">
        <v>984</v>
      </c>
      <c r="B625" s="112" t="str">
        <f>VLOOKUP(A625,'Orçamento Sintético'!$A:$H,2,0)</f>
        <v> MPDFT0060 </v>
      </c>
      <c r="C625" s="112" t="str">
        <f>VLOOKUP(A625,'Orçamento Sintético'!$A:$H,3,0)</f>
        <v>Próprio</v>
      </c>
      <c r="D625" s="113" t="str">
        <f>VLOOKUP(A625,'Orçamento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E625" s="112" t="str">
        <f>VLOOKUP(A625,'Orçamento Sintético'!$A:$H,5,0)</f>
        <v>m²</v>
      </c>
      <c r="F625" s="124"/>
      <c r="G625" s="114"/>
      <c r="H625" s="114">
        <f>SUM(H626:H628)</f>
        <v>137.3</v>
      </c>
    </row>
    <row r="626" spans="1:8" ht="12.75">
      <c r="A626" s="115" t="str">
        <f>VLOOKUP(B626,'Insumos e Serviços'!$A:$F,3,0)</f>
        <v>Composição</v>
      </c>
      <c r="B626" s="116" t="s">
        <v>1215</v>
      </c>
      <c r="C626" s="116" t="str">
        <f>VLOOKUP(B626,'Insumos e Serviços'!$A:$F,2,0)</f>
        <v>SINAPI</v>
      </c>
      <c r="D626" s="117" t="str">
        <f>VLOOKUP(B626,'Insumos e Serviços'!$A:$F,4,0)</f>
        <v>MONTADOR (TUBO AÇO/EQUIPAMENTOS) COM ENCARGOS COMPLEMENTARES</v>
      </c>
      <c r="E626" s="116" t="str">
        <f>VLOOKUP(B626,'Insumos e Serviços'!$A:$F,5,0)</f>
        <v>H</v>
      </c>
      <c r="F626" s="125">
        <v>1.0979</v>
      </c>
      <c r="G626" s="118">
        <f>VLOOKUP(B626,'Insumos e Serviços'!$A:$F,6,0)</f>
        <v>19.77</v>
      </c>
      <c r="H626" s="118">
        <f>TRUNC(F626*G626,2)</f>
        <v>21.7</v>
      </c>
    </row>
    <row r="627" spans="1:8" ht="12.75">
      <c r="A627" s="115" t="str">
        <f>VLOOKUP(B627,'Insumos e Serviços'!$A:$F,3,0)</f>
        <v>Composição</v>
      </c>
      <c r="B627" s="116" t="s">
        <v>213</v>
      </c>
      <c r="C627" s="116" t="str">
        <f>VLOOKUP(B627,'Insumos e Serviços'!$A:$F,2,0)</f>
        <v>SINAPI</v>
      </c>
      <c r="D627" s="117" t="str">
        <f>VLOOKUP(B627,'Insumos e Serviços'!$A:$F,4,0)</f>
        <v>AJUDANTE ESPECIALIZADO COM ENCARGOS COMPLEMENTARES</v>
      </c>
      <c r="E627" s="116" t="str">
        <f>VLOOKUP(B627,'Insumos e Serviços'!$A:$F,5,0)</f>
        <v>H</v>
      </c>
      <c r="F627" s="125">
        <v>1.0979</v>
      </c>
      <c r="G627" s="118">
        <f>VLOOKUP(B627,'Insumos e Serviços'!$A:$F,6,0)</f>
        <v>19.7</v>
      </c>
      <c r="H627" s="118">
        <f>TRUNC(F627*G627,2)</f>
        <v>21.62</v>
      </c>
    </row>
    <row r="628" spans="1:8" ht="34.5" thickBot="1">
      <c r="A628" s="115" t="str">
        <f>VLOOKUP(B628,'Insumos e Serviços'!$A:$F,3,0)</f>
        <v>Insumo</v>
      </c>
      <c r="B628" s="116" t="s">
        <v>442</v>
      </c>
      <c r="C628" s="116" t="str">
        <f>VLOOKUP(B628,'Insumos e Serviços'!$A:$F,2,0)</f>
        <v>Próprio</v>
      </c>
      <c r="D628" s="117" t="str">
        <f>VLOOKUP(B628,'Insumos e Serviços'!$A:$F,4,0)</f>
        <v>Painel  MPU, pré-isolado de poli-isocianurato, revestido com duas lâminas de alumínio gofrado, (esp. 20mm) – ref. Multivac (inclusive perdas, acessórios de conexão, de vedação e de reforço)</v>
      </c>
      <c r="E628" s="116" t="str">
        <f>VLOOKUP(B628,'Insumos e Serviços'!$A:$F,5,0)</f>
        <v>m²</v>
      </c>
      <c r="F628" s="125">
        <v>1</v>
      </c>
      <c r="G628" s="118">
        <f>VLOOKUP(B628,'Insumos e Serviços'!$A:$F,6,0)</f>
        <v>93.98</v>
      </c>
      <c r="H628" s="118">
        <f>TRUNC(F628*G628,2)</f>
        <v>93.98</v>
      </c>
    </row>
    <row r="629" spans="1:8" ht="13.5" thickTop="1">
      <c r="A629" s="119"/>
      <c r="B629" s="119"/>
      <c r="C629" s="119"/>
      <c r="D629" s="119"/>
      <c r="E629" s="119"/>
      <c r="F629" s="126"/>
      <c r="G629" s="119"/>
      <c r="H629" s="119"/>
    </row>
    <row r="630" spans="1:8" ht="45">
      <c r="A630" s="111" t="s">
        <v>987</v>
      </c>
      <c r="B630" s="112" t="str">
        <f>VLOOKUP(A630,'Orçamento Sintético'!$A:$H,2,0)</f>
        <v> MPDFT0885 </v>
      </c>
      <c r="C630" s="112" t="str">
        <f>VLOOKUP(A630,'Orçamento Sintético'!$A:$H,3,0)</f>
        <v>Próprio</v>
      </c>
      <c r="D630" s="113" t="str">
        <f>VLOOKUP(A630,'Orçamento Sintético'!$A:$H,4,0)</f>
        <v>Cópia da SBC (070473) - Duto flexível #250 para ventilação ou exaustão, fabricado em alumínio e poliéster com espiral de arame de aço bronzeado, anticorrosivo e indeformável.  Modelo de referência: Multivac Aludec 60 CO2</v>
      </c>
      <c r="E630" s="112" t="str">
        <f>VLOOKUP(A630,'Orçamento Sintético'!$A:$H,5,0)</f>
        <v>un</v>
      </c>
      <c r="F630" s="124"/>
      <c r="G630" s="114"/>
      <c r="H630" s="114">
        <f>SUM(H631:H633)</f>
        <v>32.69</v>
      </c>
    </row>
    <row r="631" spans="1:8" ht="12.75">
      <c r="A631" s="115" t="str">
        <f>VLOOKUP(B631,'Insumos e Serviços'!$A:$F,3,0)</f>
        <v>Composição</v>
      </c>
      <c r="B631" s="116" t="s">
        <v>213</v>
      </c>
      <c r="C631" s="116" t="str">
        <f>VLOOKUP(B631,'Insumos e Serviços'!$A:$F,2,0)</f>
        <v>SINAPI</v>
      </c>
      <c r="D631" s="117" t="str">
        <f>VLOOKUP(B631,'Insumos e Serviços'!$A:$F,4,0)</f>
        <v>AJUDANTE ESPECIALIZADO COM ENCARGOS COMPLEMENTARES</v>
      </c>
      <c r="E631" s="116" t="str">
        <f>VLOOKUP(B631,'Insumos e Serviços'!$A:$F,5,0)</f>
        <v>H</v>
      </c>
      <c r="F631" s="125">
        <v>0.309</v>
      </c>
      <c r="G631" s="118">
        <f>VLOOKUP(B631,'Insumos e Serviços'!$A:$F,6,0)</f>
        <v>19.7</v>
      </c>
      <c r="H631" s="118">
        <f>TRUNC(F631*G631,2)</f>
        <v>6.08</v>
      </c>
    </row>
    <row r="632" spans="1:8" ht="22.5">
      <c r="A632" s="115" t="str">
        <f>VLOOKUP(B632,'Insumos e Serviços'!$A:$F,3,0)</f>
        <v>Composição</v>
      </c>
      <c r="B632" s="116" t="s">
        <v>1217</v>
      </c>
      <c r="C632" s="116" t="str">
        <f>VLOOKUP(B632,'Insumos e Serviços'!$A:$F,2,0)</f>
        <v>SINAPI</v>
      </c>
      <c r="D632" s="117" t="str">
        <f>VLOOKUP(B632,'Insumos e Serviços'!$A:$F,4,0)</f>
        <v>APLICAÇÃO MANUAL DE PINTURA COM TINTA TEXTURIZADA ACRÍLICA EM PAREDES EXTERNAS DE CASAS, UMA COR. AF_06/2014</v>
      </c>
      <c r="E632" s="116" t="str">
        <f>VLOOKUP(B632,'Insumos e Serviços'!$A:$F,5,0)</f>
        <v>m²</v>
      </c>
      <c r="F632" s="125">
        <v>0.309</v>
      </c>
      <c r="G632" s="118">
        <f>VLOOKUP(B632,'Insumos e Serviços'!$A:$F,6,0)</f>
        <v>16.48</v>
      </c>
      <c r="H632" s="118">
        <f>TRUNC(F632*G632,2)</f>
        <v>5.09</v>
      </c>
    </row>
    <row r="633" spans="1:8" ht="34.5" thickBot="1">
      <c r="A633" s="115" t="str">
        <f>VLOOKUP(B633,'Insumos e Serviços'!$A:$F,3,0)</f>
        <v>Insumo</v>
      </c>
      <c r="B633" s="116" t="s">
        <v>483</v>
      </c>
      <c r="C633" s="116" t="str">
        <f>VLOOKUP(B633,'Insumos e Serviços'!$A:$F,2,0)</f>
        <v>Próprio</v>
      </c>
      <c r="D633" s="117" t="str">
        <f>VLOOKUP(B633,'Insumos e Serviços'!$A:$F,4,0)</f>
        <v>Duto flexível #250 para ventilação ou exaustão, fabricado em alumínio e poliéster com espiral de arame de aço bronzeado, anticorrosivo e indeformável.  Modelo de referência: Multivac Aludec 60 CO2</v>
      </c>
      <c r="E633" s="116" t="str">
        <f>VLOOKUP(B633,'Insumos e Serviços'!$A:$F,5,0)</f>
        <v>m</v>
      </c>
      <c r="F633" s="125">
        <v>1.1</v>
      </c>
      <c r="G633" s="118">
        <f>VLOOKUP(B633,'Insumos e Serviços'!$A:$F,6,0)</f>
        <v>19.57</v>
      </c>
      <c r="H633" s="118">
        <f>TRUNC(F633*G633,2)</f>
        <v>21.52</v>
      </c>
    </row>
    <row r="634" spans="1:8" ht="13.5" thickTop="1">
      <c r="A634" s="119"/>
      <c r="B634" s="119"/>
      <c r="C634" s="119"/>
      <c r="D634" s="119"/>
      <c r="E634" s="119"/>
      <c r="F634" s="126"/>
      <c r="G634" s="119"/>
      <c r="H634" s="119"/>
    </row>
    <row r="635" spans="1:8" ht="45">
      <c r="A635" s="111" t="s">
        <v>990</v>
      </c>
      <c r="B635" s="112" t="str">
        <f>VLOOKUP(A635,'Orçamento Sintético'!$A:$H,2,0)</f>
        <v> MPDFT0880 </v>
      </c>
      <c r="C635" s="112" t="str">
        <f>VLOOKUP(A635,'Orçamento Sintético'!$A:$H,3,0)</f>
        <v>Próprio</v>
      </c>
      <c r="D635" s="113" t="str">
        <f>VLOOKUP(A635,'Orçamento Sintético'!$A:$H,4,0)</f>
        <v>Cópia da CPOS (61.10.574) - G1 - Grelha de exaustão, dimensões 225x125mm,  aletas fixas e horizontais, fabricada com perfis de alumínio extrudado, anodizado, na cor natural, incluindo registro de lâminas opostas e dupla deflexão. Modelo de referência: TROX AR/AG</v>
      </c>
      <c r="E635" s="112" t="str">
        <f>VLOOKUP(A635,'Orçamento Sintético'!$A:$H,5,0)</f>
        <v>un</v>
      </c>
      <c r="F635" s="124"/>
      <c r="G635" s="114"/>
      <c r="H635" s="114">
        <f>SUM(H636:H638)</f>
        <v>211.51</v>
      </c>
    </row>
    <row r="636" spans="1:8" ht="12.75">
      <c r="A636" s="115" t="str">
        <f>VLOOKUP(B636,'Insumos e Serviços'!$A:$F,3,0)</f>
        <v>Composição</v>
      </c>
      <c r="B636" s="116" t="s">
        <v>1154</v>
      </c>
      <c r="C636" s="116" t="str">
        <f>VLOOKUP(B636,'Insumos e Serviços'!$A:$F,2,0)</f>
        <v>SINAPI</v>
      </c>
      <c r="D636" s="117" t="str">
        <f>VLOOKUP(B636,'Insumos e Serviços'!$A:$F,4,0)</f>
        <v>MONTADOR DE ELETROELETRÔNICOS COM ENCARGOS COMPLEMENTARES</v>
      </c>
      <c r="E636" s="116" t="str">
        <f>VLOOKUP(B636,'Insumos e Serviços'!$A:$F,5,0)</f>
        <v>H</v>
      </c>
      <c r="F636" s="125">
        <v>3.6</v>
      </c>
      <c r="G636" s="118">
        <f>VLOOKUP(B636,'Insumos e Serviços'!$A:$F,6,0)</f>
        <v>22.43</v>
      </c>
      <c r="H636" s="118">
        <f>TRUNC(F636*G636,2)</f>
        <v>80.74</v>
      </c>
    </row>
    <row r="637" spans="1:8" ht="12.75">
      <c r="A637" s="115" t="str">
        <f>VLOOKUP(B637,'Insumos e Serviços'!$A:$F,3,0)</f>
        <v>Composição</v>
      </c>
      <c r="B637" s="116" t="s">
        <v>1213</v>
      </c>
      <c r="C637" s="116" t="str">
        <f>VLOOKUP(B637,'Insumos e Serviços'!$A:$F,2,0)</f>
        <v>SINAPI</v>
      </c>
      <c r="D637" s="117" t="str">
        <f>VLOOKUP(B637,'Insumos e Serviços'!$A:$F,4,0)</f>
        <v>AJUDANTE DE OPERAÇÃO EM GERAL COM ENCARGOS COMPLEMENTARES</v>
      </c>
      <c r="E637" s="116" t="str">
        <f>VLOOKUP(B637,'Insumos e Serviços'!$A:$F,5,0)</f>
        <v>H</v>
      </c>
      <c r="F637" s="125">
        <v>3.6</v>
      </c>
      <c r="G637" s="118">
        <f>VLOOKUP(B637,'Insumos e Serviços'!$A:$F,6,0)</f>
        <v>21.41</v>
      </c>
      <c r="H637" s="118">
        <f>TRUNC(F637*G637,2)</f>
        <v>77.07</v>
      </c>
    </row>
    <row r="638" spans="1:8" ht="34.5" thickBot="1">
      <c r="A638" s="115" t="str">
        <f>VLOOKUP(B638,'Insumos e Serviços'!$A:$F,3,0)</f>
        <v>Insumo</v>
      </c>
      <c r="B638" s="116" t="s">
        <v>479</v>
      </c>
      <c r="C638" s="116" t="str">
        <f>VLOOKUP(B638,'Insumos e Serviços'!$A:$F,2,0)</f>
        <v>Próprio</v>
      </c>
      <c r="D638" s="117" t="str">
        <f>VLOOKUP(B638,'Insumos e Serviços'!$A:$F,4,0)</f>
        <v>G1 - Grelha de exaustão, dimensões 225x125mm,  aletas fixas e horizontais, fabricada com perfis de alumínio extrudado, anodizado, na cor natural, incluindo registro de lâminas opostas e dupla deflexão. Modelo de referência: TROX AR/A</v>
      </c>
      <c r="E638" s="116" t="str">
        <f>VLOOKUP(B638,'Insumos e Serviços'!$A:$F,5,0)</f>
        <v>un</v>
      </c>
      <c r="F638" s="125">
        <v>1</v>
      </c>
      <c r="G638" s="118">
        <f>VLOOKUP(B638,'Insumos e Serviços'!$A:$F,6,0)</f>
        <v>53.7</v>
      </c>
      <c r="H638" s="118">
        <f>TRUNC(F638*G638,2)</f>
        <v>53.7</v>
      </c>
    </row>
    <row r="639" spans="1:8" ht="13.5" thickTop="1">
      <c r="A639" s="119"/>
      <c r="B639" s="119"/>
      <c r="C639" s="119"/>
      <c r="D639" s="119"/>
      <c r="E639" s="119"/>
      <c r="F639" s="126"/>
      <c r="G639" s="119"/>
      <c r="H639" s="119"/>
    </row>
    <row r="640" spans="1:8" ht="90">
      <c r="A640" s="111" t="s">
        <v>993</v>
      </c>
      <c r="B640" s="112" t="str">
        <f>VLOOKUP(A640,'Orçamento Sintético'!$A:$H,2,0)</f>
        <v> MPDFT0286 </v>
      </c>
      <c r="C640" s="112" t="str">
        <f>VLOOKUP(A640,'Orçamento Sintético'!$A:$H,3,0)</f>
        <v>Próprio</v>
      </c>
      <c r="D640" s="113" t="str">
        <f>VLOOKUP(A640,'Orçamento Sintético'!$A:$H,4,0)</f>
        <v>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 ou similar equivalente.</v>
      </c>
      <c r="E640" s="112" t="str">
        <f>VLOOKUP(A640,'Orçamento Sintético'!$A:$H,5,0)</f>
        <v>un</v>
      </c>
      <c r="F640" s="124"/>
      <c r="G640" s="114"/>
      <c r="H640" s="114">
        <f>SUM(H641:H643)</f>
        <v>674.9</v>
      </c>
    </row>
    <row r="641" spans="1:8" ht="12.75">
      <c r="A641" s="115" t="str">
        <f>VLOOKUP(B641,'Insumos e Serviços'!$A:$F,3,0)</f>
        <v>Composição</v>
      </c>
      <c r="B641" s="116" t="s">
        <v>1215</v>
      </c>
      <c r="C641" s="116" t="str">
        <f>VLOOKUP(B641,'Insumos e Serviços'!$A:$F,2,0)</f>
        <v>SINAPI</v>
      </c>
      <c r="D641" s="117" t="str">
        <f>VLOOKUP(B641,'Insumos e Serviços'!$A:$F,4,0)</f>
        <v>MONTADOR (TUBO AÇO/EQUIPAMENTOS) COM ENCARGOS COMPLEMENTARES</v>
      </c>
      <c r="E641" s="116" t="str">
        <f>VLOOKUP(B641,'Insumos e Serviços'!$A:$F,5,0)</f>
        <v>H</v>
      </c>
      <c r="F641" s="125">
        <v>1.691</v>
      </c>
      <c r="G641" s="118">
        <f>VLOOKUP(B641,'Insumos e Serviços'!$A:$F,6,0)</f>
        <v>19.77</v>
      </c>
      <c r="H641" s="118">
        <f>TRUNC(F641*G641,2)</f>
        <v>33.43</v>
      </c>
    </row>
    <row r="642" spans="1:8" ht="12.75">
      <c r="A642" s="115" t="str">
        <f>VLOOKUP(B642,'Insumos e Serviços'!$A:$F,3,0)</f>
        <v>Composição</v>
      </c>
      <c r="B642" s="116" t="s">
        <v>213</v>
      </c>
      <c r="C642" s="116" t="str">
        <f>VLOOKUP(B642,'Insumos e Serviços'!$A:$F,2,0)</f>
        <v>SINAPI</v>
      </c>
      <c r="D642" s="117" t="str">
        <f>VLOOKUP(B642,'Insumos e Serviços'!$A:$F,4,0)</f>
        <v>AJUDANTE ESPECIALIZADO COM ENCARGOS COMPLEMENTARES</v>
      </c>
      <c r="E642" s="116" t="str">
        <f>VLOOKUP(B642,'Insumos e Serviços'!$A:$F,5,0)</f>
        <v>H</v>
      </c>
      <c r="F642" s="125">
        <v>1.691</v>
      </c>
      <c r="G642" s="118">
        <f>VLOOKUP(B642,'Insumos e Serviços'!$A:$F,6,0)</f>
        <v>19.7</v>
      </c>
      <c r="H642" s="118">
        <f>TRUNC(F642*G642,2)</f>
        <v>33.31</v>
      </c>
    </row>
    <row r="643" spans="1:8" ht="79.5" thickBot="1">
      <c r="A643" s="115" t="str">
        <f>VLOOKUP(B643,'Insumos e Serviços'!$A:$F,3,0)</f>
        <v>Insumo</v>
      </c>
      <c r="B643" s="116" t="s">
        <v>465</v>
      </c>
      <c r="C643" s="116" t="str">
        <f>VLOOKUP(B643,'Insumos e Serviços'!$A:$F,2,0)</f>
        <v>Próprio</v>
      </c>
      <c r="D643" s="117" t="str">
        <f>VLOOKUP(B643,'Insumos e Serviços'!$A:$F,4,0)</f>
        <v>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v>
      </c>
      <c r="E643" s="116" t="str">
        <f>VLOOKUP(B643,'Insumos e Serviços'!$A:$F,5,0)</f>
        <v>un</v>
      </c>
      <c r="F643" s="125">
        <v>1</v>
      </c>
      <c r="G643" s="118">
        <f>VLOOKUP(B643,'Insumos e Serviços'!$A:$F,6,0)</f>
        <v>608.16</v>
      </c>
      <c r="H643" s="118">
        <f>TRUNC(F643*G643,2)</f>
        <v>608.16</v>
      </c>
    </row>
    <row r="644" spans="1:8" ht="13.5" thickTop="1">
      <c r="A644" s="119"/>
      <c r="B644" s="119"/>
      <c r="C644" s="119"/>
      <c r="D644" s="119"/>
      <c r="E644" s="119"/>
      <c r="F644" s="126"/>
      <c r="G644" s="119"/>
      <c r="H644" s="119"/>
    </row>
    <row r="645" spans="1:8" ht="12.75">
      <c r="A645" s="105" t="s">
        <v>132</v>
      </c>
      <c r="B645" s="106"/>
      <c r="C645" s="106"/>
      <c r="D645" s="105" t="str">
        <f>VLOOKUP(A645,'Orçamento Sintético'!$A:$H,4,0)</f>
        <v>INSTALAÇÕES DE PREVENÇÃO E COMBATE A INCÊNDIO</v>
      </c>
      <c r="E645" s="106"/>
      <c r="F645" s="122"/>
      <c r="G645" s="105"/>
      <c r="H645" s="107"/>
    </row>
    <row r="646" spans="1:8" ht="12.75">
      <c r="A646" s="108" t="s">
        <v>996</v>
      </c>
      <c r="B646" s="109"/>
      <c r="C646" s="109"/>
      <c r="D646" s="108" t="str">
        <f>VLOOKUP(A646,'Orçamento Sintético'!$A:$H,4,0)</f>
        <v>PREVENÇÃO E COMBATE A INCÊNDIO</v>
      </c>
      <c r="E646" s="109"/>
      <c r="F646" s="123"/>
      <c r="G646" s="108"/>
      <c r="H646" s="110"/>
    </row>
    <row r="647" spans="1:8" ht="12.75">
      <c r="A647" s="108" t="s">
        <v>998</v>
      </c>
      <c r="B647" s="109"/>
      <c r="C647" s="109"/>
      <c r="D647" s="108" t="str">
        <f>VLOOKUP(A647,'Orçamento Sintético'!$A:$H,4,0)</f>
        <v>Sinalização de rota e fuga</v>
      </c>
      <c r="E647" s="109"/>
      <c r="F647" s="123"/>
      <c r="G647" s="108"/>
      <c r="H647" s="110"/>
    </row>
    <row r="648" spans="1:8" ht="67.5">
      <c r="A648" s="111" t="s">
        <v>1000</v>
      </c>
      <c r="B648" s="112" t="str">
        <f>VLOOKUP(A648,'Orçamento Sintético'!$A:$H,2,0)</f>
        <v> MPDFT0462 </v>
      </c>
      <c r="C648" s="112" t="str">
        <f>VLOOKUP(A648,'Orçamento Sintético'!$A:$H,3,0)</f>
        <v>Próprio</v>
      </c>
      <c r="D648" s="113" t="str">
        <f>VLOOKUP(A648,'Orçamento Sintético'!$A:$H,4,0)</f>
        <v>19a - Placa de Identificação de Pavimento (PIP), 150x150mm, fixada nas superfícies por meio de fita dupla-face, fundo em chapa de acrílico opaca, espessura 3mm, acabamento pintura esmalte automotivo sobre  primer surfacer, referência cromática Verde C60, M0, Y40, K30, símbolo em vinil fotoluminescente, texto em Braile em alto relevo 1mm de PVC conforme NBR 9050.</v>
      </c>
      <c r="E648" s="112" t="str">
        <f>VLOOKUP(A648,'Orçamento Sintético'!$A:$H,5,0)</f>
        <v>un</v>
      </c>
      <c r="F648" s="124"/>
      <c r="G648" s="114"/>
      <c r="H648" s="114">
        <f>SUM(H649:H651)</f>
        <v>20.23</v>
      </c>
    </row>
    <row r="649" spans="1:8" ht="12.75">
      <c r="A649" s="115" t="str">
        <f>VLOOKUP(B649,'Insumos e Serviços'!$A:$F,3,0)</f>
        <v>Composição</v>
      </c>
      <c r="B649" s="116" t="s">
        <v>200</v>
      </c>
      <c r="C649" s="116" t="str">
        <f>VLOOKUP(B649,'Insumos e Serviços'!$A:$F,2,0)</f>
        <v>SINAPI</v>
      </c>
      <c r="D649" s="117" t="str">
        <f>VLOOKUP(B649,'Insumos e Serviços'!$A:$F,4,0)</f>
        <v>SERVENTE COM ENCARGOS COMPLEMENTARES</v>
      </c>
      <c r="E649" s="116" t="str">
        <f>VLOOKUP(B649,'Insumos e Serviços'!$A:$F,5,0)</f>
        <v>H</v>
      </c>
      <c r="F649" s="125">
        <v>0.2</v>
      </c>
      <c r="G649" s="118">
        <f>VLOOKUP(B649,'Insumos e Serviços'!$A:$F,6,0)</f>
        <v>18.65</v>
      </c>
      <c r="H649" s="118">
        <f>TRUNC(F649*G649,2)</f>
        <v>3.73</v>
      </c>
    </row>
    <row r="650" spans="1:8" ht="12.75">
      <c r="A650" s="115" t="str">
        <f>VLOOKUP(B650,'Insumos e Serviços'!$A:$F,3,0)</f>
        <v>Composição</v>
      </c>
      <c r="B650" s="116" t="s">
        <v>210</v>
      </c>
      <c r="C650" s="116" t="str">
        <f>VLOOKUP(B650,'Insumos e Serviços'!$A:$F,2,0)</f>
        <v>SINAPI</v>
      </c>
      <c r="D650" s="117" t="str">
        <f>VLOOKUP(B650,'Insumos e Serviços'!$A:$F,4,0)</f>
        <v>PEDREIRO COM ENCARGOS COMPLEMENTARES</v>
      </c>
      <c r="E650" s="116" t="str">
        <f>VLOOKUP(B650,'Insumos e Serviços'!$A:$F,5,0)</f>
        <v>H</v>
      </c>
      <c r="F650" s="125">
        <v>0.1</v>
      </c>
      <c r="G650" s="118">
        <f>VLOOKUP(B650,'Insumos e Serviços'!$A:$F,6,0)</f>
        <v>25.09</v>
      </c>
      <c r="H650" s="118">
        <f>TRUNC(F650*G650,2)</f>
        <v>2.5</v>
      </c>
    </row>
    <row r="651" spans="1:8" ht="34.5" thickBot="1">
      <c r="A651" s="115" t="str">
        <f>VLOOKUP(B651,'Insumos e Serviços'!$A:$F,3,0)</f>
        <v>Insumo</v>
      </c>
      <c r="B651" s="116" t="s">
        <v>1219</v>
      </c>
      <c r="C651" s="116" t="str">
        <f>VLOOKUP(B651,'Insumos e Serviços'!$A:$F,2,0)</f>
        <v>SINAPI</v>
      </c>
      <c r="D651" s="117" t="str">
        <f>VLOOKUP(B651,'Insumos e Serviços'!$A:$F,4,0)</f>
        <v>PLACA DE SINALIZACAO DE SEGURANCA CONTRA INCENDIO, FOTOLUMINESCENTE, RETANGULAR, *13 X 26* CM, EM PVC *2* MM ANTI-CHAMAS (SIMBOLOS, CORES E PICTOGRAMAS CONFORME NBR 13434)</v>
      </c>
      <c r="E651" s="116" t="str">
        <f>VLOOKUP(B651,'Insumos e Serviços'!$A:$F,5,0)</f>
        <v>UN</v>
      </c>
      <c r="F651" s="125">
        <v>0.7</v>
      </c>
      <c r="G651" s="118">
        <f>VLOOKUP(B651,'Insumos e Serviços'!$A:$F,6,0)</f>
        <v>20</v>
      </c>
      <c r="H651" s="118">
        <f>TRUNC(F651*G651,2)</f>
        <v>14</v>
      </c>
    </row>
    <row r="652" spans="1:8" ht="13.5" thickTop="1">
      <c r="A652" s="119"/>
      <c r="B652" s="119"/>
      <c r="C652" s="119"/>
      <c r="D652" s="119"/>
      <c r="E652" s="119"/>
      <c r="F652" s="126"/>
      <c r="G652" s="119"/>
      <c r="H652" s="119"/>
    </row>
    <row r="653" spans="1:8" ht="12.75">
      <c r="A653" s="105" t="s">
        <v>134</v>
      </c>
      <c r="B653" s="106"/>
      <c r="C653" s="106"/>
      <c r="D653" s="105" t="str">
        <f>VLOOKUP(A653,'Orçamento Sintético'!$A:$H,4,0)</f>
        <v>SERVIÇOS COMPLEMENTARES</v>
      </c>
      <c r="E653" s="106"/>
      <c r="F653" s="122"/>
      <c r="G653" s="105"/>
      <c r="H653" s="107"/>
    </row>
    <row r="654" spans="1:8" ht="12.75">
      <c r="A654" s="108" t="s">
        <v>1003</v>
      </c>
      <c r="B654" s="109"/>
      <c r="C654" s="109"/>
      <c r="D654" s="108" t="str">
        <f>VLOOKUP(A654,'Orçamento Sintético'!$A:$H,4,0)</f>
        <v>Limpeza de obra</v>
      </c>
      <c r="E654" s="109"/>
      <c r="F654" s="123"/>
      <c r="G654" s="108"/>
      <c r="H654" s="110"/>
    </row>
    <row r="655" spans="1:8" ht="12.75">
      <c r="A655" s="111" t="s">
        <v>1005</v>
      </c>
      <c r="B655" s="112" t="str">
        <f>VLOOKUP(A655,'Orçamento Sintético'!$A:$H,2,0)</f>
        <v> MPDFT0825 </v>
      </c>
      <c r="C655" s="112" t="str">
        <f>VLOOKUP(A655,'Orçamento Sintético'!$A:$H,3,0)</f>
        <v>Próprio</v>
      </c>
      <c r="D655" s="113" t="str">
        <f>VLOOKUP(A655,'Orçamento Sintético'!$A:$H,4,0)</f>
        <v>Transporte de material – bota-fora, D.M.T = 80,0 km</v>
      </c>
      <c r="E655" s="112" t="str">
        <f>VLOOKUP(A655,'Orçamento Sintético'!$A:$H,5,0)</f>
        <v>m³</v>
      </c>
      <c r="F655" s="124"/>
      <c r="G655" s="114"/>
      <c r="H655" s="114">
        <f>SUM(H656:H657)</f>
        <v>88.88</v>
      </c>
    </row>
    <row r="656" spans="1:8" ht="33.75">
      <c r="A656" s="115" t="str">
        <f>VLOOKUP(B656,'Insumos e Serviços'!$A:$F,3,0)</f>
        <v>Composição</v>
      </c>
      <c r="B656" s="116" t="s">
        <v>217</v>
      </c>
      <c r="C656" s="116" t="str">
        <f>VLOOKUP(B656,'Insumos e Serviços'!$A:$F,2,0)</f>
        <v>SINAPI</v>
      </c>
      <c r="D656" s="117" t="str">
        <f>VLOOKUP(B656,'Insumos e Serviços'!$A:$F,4,0)</f>
        <v>TRANSPORTE COM CAMINHÃO BASCULANTE DE 6 M³, EM VIA URBANA PAVIMENTADA, ADICIONAL PARA DMT EXCEDENTE A 30 KM (UNIDADE: M3XKM). AF_07/2020</v>
      </c>
      <c r="E656" s="116" t="str">
        <f>VLOOKUP(B656,'Insumos e Serviços'!$A:$F,5,0)</f>
        <v>M3XKM</v>
      </c>
      <c r="F656" s="125">
        <v>80</v>
      </c>
      <c r="G656" s="118">
        <f>VLOOKUP(B656,'Insumos e Serviços'!$A:$F,6,0)</f>
        <v>1.01</v>
      </c>
      <c r="H656" s="118">
        <f>TRUNC(F656*G656,2)</f>
        <v>80.8</v>
      </c>
    </row>
    <row r="657" spans="1:8" ht="33.75">
      <c r="A657" s="115" t="str">
        <f>VLOOKUP(B657,'Insumos e Serviços'!$A:$F,3,0)</f>
        <v>Composição</v>
      </c>
      <c r="B657" s="116" t="s">
        <v>1223</v>
      </c>
      <c r="C657" s="116" t="str">
        <f>VLOOKUP(B657,'Insumos e Serviços'!$A:$F,2,0)</f>
        <v>SINAPI</v>
      </c>
      <c r="D657" s="117" t="str">
        <f>VLOOKUP(B657,'Insumos e Serviços'!$A:$F,4,0)</f>
        <v>CARGA, MANOBRA E DESCARGA DE ENTULHO EM CAMINHÃO BASCULANTE 6 M³ - CARGA COM ESCAVADEIRA HIDRÁULICA  (CAÇAMBA DE 0,80 M³ / 111 HP) E DESCARGA LIVRE (UNIDADE: M3). AF_07/2020</v>
      </c>
      <c r="E657" s="116" t="str">
        <f>VLOOKUP(B657,'Insumos e Serviços'!$A:$F,5,0)</f>
        <v>m³</v>
      </c>
      <c r="F657" s="125">
        <v>1</v>
      </c>
      <c r="G657" s="118">
        <f>VLOOKUP(B657,'Insumos e Serviços'!$A:$F,6,0)</f>
        <v>8.08</v>
      </c>
      <c r="H657" s="118">
        <f>TRUNC(F657*G657,2)</f>
        <v>8.08</v>
      </c>
    </row>
  </sheetData>
  <sheetProtection sheet="1" objects="1" scenarios="1"/>
  <mergeCells count="13">
    <mergeCell ref="A4:B4"/>
    <mergeCell ref="C4:D4"/>
    <mergeCell ref="E4:F4"/>
    <mergeCell ref="G4:H4"/>
    <mergeCell ref="A7:H7"/>
    <mergeCell ref="A6:B6"/>
    <mergeCell ref="C6:D6"/>
    <mergeCell ref="E6:F6"/>
    <mergeCell ref="G6:H6"/>
    <mergeCell ref="G1:H1"/>
    <mergeCell ref="A2:B2"/>
    <mergeCell ref="E2:F2"/>
    <mergeCell ref="G2:H2"/>
  </mergeCells>
  <printOptions horizontalCentered="1"/>
  <pageMargins left="0.590277777777778" right="0.590277777777778" top="0.590277777777778" bottom="0.590277777777778" header="0.511805555555555" footer="0.51180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275"/>
  <sheetViews>
    <sheetView showGridLines="0" zoomScalePageLayoutView="0" workbookViewId="0" topLeftCell="A1">
      <selection activeCell="A1" sqref="A1"/>
    </sheetView>
  </sheetViews>
  <sheetFormatPr defaultColWidth="9.140625" defaultRowHeight="12.75"/>
  <cols>
    <col min="1" max="1" width="12.7109375" style="138" customWidth="1"/>
    <col min="2" max="2" width="9.7109375" style="138" customWidth="1"/>
    <col min="3" max="3" width="13.7109375" style="138" customWidth="1"/>
    <col min="4" max="4" width="60.7109375" style="138" customWidth="1"/>
    <col min="5" max="6" width="12.7109375" style="138" customWidth="1"/>
    <col min="7" max="16384" width="9.140625" style="135" customWidth="1"/>
  </cols>
  <sheetData>
    <row r="1" spans="1:6" ht="22.5">
      <c r="A1" s="127" t="str">
        <f>'Orçamento Sintético'!A1</f>
        <v>P. Execução:</v>
      </c>
      <c r="B1" s="134"/>
      <c r="C1" s="127" t="str">
        <f>'Orçamento Sintético'!C1</f>
        <v>Licitação:</v>
      </c>
      <c r="D1" s="130" t="str">
        <f>'Orçamento Sintético'!D1</f>
        <v>Objeto: Remanescente da reforma acessibilidade do edifício das Promotorias de Justiça da Infância</v>
      </c>
      <c r="E1" s="99" t="str">
        <f>'Orçamento Sintético'!E1</f>
        <v>Data:</v>
      </c>
      <c r="F1" s="100"/>
    </row>
    <row r="2" spans="1:6" ht="12.75">
      <c r="A2" s="191" t="str">
        <f>'Orçamento Sintético'!A2</f>
        <v>A</v>
      </c>
      <c r="B2" s="191"/>
      <c r="C2" s="131" t="str">
        <f>'Orçamento Sintético'!C2</f>
        <v>B</v>
      </c>
      <c r="D2" s="132" t="str">
        <f>'Orçamento Sintético'!D2</f>
        <v>Local: SEPN 711/911, - Asa Norte Bloco B - Brasília – DF</v>
      </c>
      <c r="E2" s="192">
        <f>'Orçamento Sintético'!E2</f>
        <v>1</v>
      </c>
      <c r="F2" s="192"/>
    </row>
    <row r="3" spans="1:6" ht="12.75">
      <c r="A3" s="127" t="str">
        <f>'Orçamento Sintético'!A3</f>
        <v>P. Validade:</v>
      </c>
      <c r="B3" s="134"/>
      <c r="C3" s="127" t="str">
        <f>'Orçamento Sintético'!C3</f>
        <v>Razão Social:</v>
      </c>
      <c r="D3" s="134"/>
      <c r="E3" s="127" t="str">
        <f>'Orçamento Sintético'!E3</f>
        <v>Telefone:</v>
      </c>
      <c r="F3" s="134"/>
    </row>
    <row r="4" spans="1:6" ht="12.75">
      <c r="A4" s="191" t="str">
        <f>'Orçamento Sintético'!A4</f>
        <v>C</v>
      </c>
      <c r="B4" s="191"/>
      <c r="C4" s="191" t="str">
        <f>'Orçamento Sintético'!C4</f>
        <v>D</v>
      </c>
      <c r="D4" s="191"/>
      <c r="E4" s="191" t="str">
        <f>'Orçamento Sintético'!E4</f>
        <v>E</v>
      </c>
      <c r="F4" s="191"/>
    </row>
    <row r="5" spans="1:6" ht="12.75">
      <c r="A5" s="127" t="str">
        <f>'Orçamento Sintético'!A5</f>
        <v>P. Garantia:</v>
      </c>
      <c r="B5" s="134"/>
      <c r="C5" s="127" t="str">
        <f>'Orçamento Sintético'!C5</f>
        <v>CNPJ:</v>
      </c>
      <c r="D5" s="134"/>
      <c r="E5" s="127" t="str">
        <f>'Orçamento Sintético'!E5</f>
        <v>E-mail:</v>
      </c>
      <c r="F5" s="134"/>
    </row>
    <row r="6" spans="1:6" ht="12.75">
      <c r="A6" s="191" t="str">
        <f>'Orçamento Sintético'!A6</f>
        <v>F</v>
      </c>
      <c r="B6" s="191"/>
      <c r="C6" s="191" t="str">
        <f>'Orçamento Sintético'!C6</f>
        <v>G</v>
      </c>
      <c r="D6" s="191"/>
      <c r="E6" s="191" t="str">
        <f>'Orçamento Sintético'!E6</f>
        <v>H</v>
      </c>
      <c r="F6" s="191"/>
    </row>
    <row r="7" spans="1:6" ht="15">
      <c r="A7" s="208" t="s">
        <v>241</v>
      </c>
      <c r="B7" s="208"/>
      <c r="C7" s="208"/>
      <c r="D7" s="208"/>
      <c r="E7" s="208"/>
      <c r="F7" s="208"/>
    </row>
    <row r="8" spans="1:6" s="136" customFormat="1" ht="12.75">
      <c r="A8" s="139" t="s">
        <v>154</v>
      </c>
      <c r="B8" s="139" t="s">
        <v>155</v>
      </c>
      <c r="C8" s="139" t="s">
        <v>242</v>
      </c>
      <c r="D8" s="139" t="s">
        <v>117</v>
      </c>
      <c r="E8" s="139" t="s">
        <v>156</v>
      </c>
      <c r="F8" s="139" t="s">
        <v>158</v>
      </c>
    </row>
    <row r="9" spans="1:6" ht="22.5">
      <c r="A9" s="140" t="s">
        <v>224</v>
      </c>
      <c r="B9" s="140" t="s">
        <v>243</v>
      </c>
      <c r="C9" s="140" t="s">
        <v>244</v>
      </c>
      <c r="D9" s="141" t="s">
        <v>246</v>
      </c>
      <c r="E9" s="140" t="s">
        <v>247</v>
      </c>
      <c r="F9" s="137">
        <v>37.6</v>
      </c>
    </row>
    <row r="10" spans="1:6" ht="12.75">
      <c r="A10" s="140" t="s">
        <v>1192</v>
      </c>
      <c r="B10" s="140" t="s">
        <v>243</v>
      </c>
      <c r="C10" s="140" t="s">
        <v>244</v>
      </c>
      <c r="D10" s="141" t="s">
        <v>1193</v>
      </c>
      <c r="E10" s="140" t="s">
        <v>168</v>
      </c>
      <c r="F10" s="137">
        <v>14.25</v>
      </c>
    </row>
    <row r="11" spans="1:6" ht="22.5">
      <c r="A11" s="140" t="s">
        <v>1068</v>
      </c>
      <c r="B11" s="140" t="s">
        <v>243</v>
      </c>
      <c r="C11" s="140" t="s">
        <v>244</v>
      </c>
      <c r="D11" s="141" t="s">
        <v>1069</v>
      </c>
      <c r="E11" s="140" t="s">
        <v>168</v>
      </c>
      <c r="F11" s="137">
        <v>4.05</v>
      </c>
    </row>
    <row r="12" spans="1:6" ht="22.5">
      <c r="A12" s="140" t="s">
        <v>1096</v>
      </c>
      <c r="B12" s="140" t="s">
        <v>243</v>
      </c>
      <c r="C12" s="140" t="s">
        <v>244</v>
      </c>
      <c r="D12" s="141" t="s">
        <v>1097</v>
      </c>
      <c r="E12" s="140" t="s">
        <v>166</v>
      </c>
      <c r="F12" s="137">
        <v>29.49</v>
      </c>
    </row>
    <row r="13" spans="1:6" ht="12.75">
      <c r="A13" s="140" t="s">
        <v>1061</v>
      </c>
      <c r="B13" s="140" t="s">
        <v>243</v>
      </c>
      <c r="C13" s="140" t="s">
        <v>244</v>
      </c>
      <c r="D13" s="141" t="s">
        <v>1062</v>
      </c>
      <c r="E13" s="140" t="s">
        <v>245</v>
      </c>
      <c r="F13" s="137">
        <v>12.7</v>
      </c>
    </row>
    <row r="14" spans="1:6" ht="12.75">
      <c r="A14" s="140" t="s">
        <v>1052</v>
      </c>
      <c r="B14" s="140" t="s">
        <v>243</v>
      </c>
      <c r="C14" s="140" t="s">
        <v>244</v>
      </c>
      <c r="D14" s="141" t="s">
        <v>1053</v>
      </c>
      <c r="E14" s="140" t="s">
        <v>245</v>
      </c>
      <c r="F14" s="137">
        <v>45.94</v>
      </c>
    </row>
    <row r="15" spans="1:6" ht="12.75">
      <c r="A15" s="140" t="s">
        <v>237</v>
      </c>
      <c r="B15" s="140" t="s">
        <v>243</v>
      </c>
      <c r="C15" s="140" t="s">
        <v>244</v>
      </c>
      <c r="D15" s="141" t="s">
        <v>249</v>
      </c>
      <c r="E15" s="140" t="s">
        <v>245</v>
      </c>
      <c r="F15" s="137">
        <v>0.62</v>
      </c>
    </row>
    <row r="16" spans="1:6" ht="12.75">
      <c r="A16" s="140" t="s">
        <v>1098</v>
      </c>
      <c r="B16" s="140" t="s">
        <v>243</v>
      </c>
      <c r="C16" s="140" t="s">
        <v>244</v>
      </c>
      <c r="D16" s="141" t="s">
        <v>1099</v>
      </c>
      <c r="E16" s="140" t="s">
        <v>245</v>
      </c>
      <c r="F16" s="137">
        <v>0.5</v>
      </c>
    </row>
    <row r="17" spans="1:6" ht="22.5">
      <c r="A17" s="140" t="s">
        <v>1084</v>
      </c>
      <c r="B17" s="140" t="s">
        <v>243</v>
      </c>
      <c r="C17" s="140" t="s">
        <v>244</v>
      </c>
      <c r="D17" s="141" t="s">
        <v>1085</v>
      </c>
      <c r="E17" s="140" t="s">
        <v>171</v>
      </c>
      <c r="F17" s="137">
        <v>423.27</v>
      </c>
    </row>
    <row r="18" spans="1:6" ht="12.75">
      <c r="A18" s="140" t="s">
        <v>1124</v>
      </c>
      <c r="B18" s="140" t="s">
        <v>243</v>
      </c>
      <c r="C18" s="140" t="s">
        <v>244</v>
      </c>
      <c r="D18" s="141" t="s">
        <v>1125</v>
      </c>
      <c r="E18" s="140" t="s">
        <v>168</v>
      </c>
      <c r="F18" s="137">
        <v>3.71</v>
      </c>
    </row>
    <row r="19" spans="1:6" ht="12.75">
      <c r="A19" s="140" t="s">
        <v>1120</v>
      </c>
      <c r="B19" s="140" t="s">
        <v>243</v>
      </c>
      <c r="C19" s="140" t="s">
        <v>244</v>
      </c>
      <c r="D19" s="141" t="s">
        <v>1121</v>
      </c>
      <c r="E19" s="140" t="s">
        <v>168</v>
      </c>
      <c r="F19" s="137">
        <v>13.68</v>
      </c>
    </row>
    <row r="20" spans="1:6" ht="12.75">
      <c r="A20" s="140" t="s">
        <v>1037</v>
      </c>
      <c r="B20" s="140" t="s">
        <v>243</v>
      </c>
      <c r="C20" s="140" t="s">
        <v>244</v>
      </c>
      <c r="D20" s="141" t="s">
        <v>1038</v>
      </c>
      <c r="E20" s="140" t="s">
        <v>168</v>
      </c>
      <c r="F20" s="137">
        <v>3.85</v>
      </c>
    </row>
    <row r="21" spans="1:6" ht="12.75">
      <c r="A21" s="140" t="s">
        <v>201</v>
      </c>
      <c r="B21" s="140" t="s">
        <v>243</v>
      </c>
      <c r="C21" s="140" t="s">
        <v>244</v>
      </c>
      <c r="D21" s="141" t="s">
        <v>1023</v>
      </c>
      <c r="E21" s="140" t="s">
        <v>166</v>
      </c>
      <c r="F21" s="137">
        <v>1.73</v>
      </c>
    </row>
    <row r="22" spans="1:6" ht="22.5">
      <c r="A22" s="140" t="s">
        <v>1128</v>
      </c>
      <c r="B22" s="140" t="s">
        <v>243</v>
      </c>
      <c r="C22" s="140" t="s">
        <v>244</v>
      </c>
      <c r="D22" s="141" t="s">
        <v>1129</v>
      </c>
      <c r="E22" s="140" t="s">
        <v>168</v>
      </c>
      <c r="F22" s="137">
        <v>17.25</v>
      </c>
    </row>
    <row r="23" spans="1:6" ht="22.5">
      <c r="A23" s="140" t="s">
        <v>1114</v>
      </c>
      <c r="B23" s="140" t="s">
        <v>243</v>
      </c>
      <c r="C23" s="140" t="s">
        <v>244</v>
      </c>
      <c r="D23" s="141" t="s">
        <v>1115</v>
      </c>
      <c r="E23" s="140" t="s">
        <v>168</v>
      </c>
      <c r="F23" s="137">
        <v>23.27</v>
      </c>
    </row>
    <row r="24" spans="1:6" ht="12.75">
      <c r="A24" s="140" t="s">
        <v>223</v>
      </c>
      <c r="B24" s="140" t="s">
        <v>243</v>
      </c>
      <c r="C24" s="140" t="s">
        <v>244</v>
      </c>
      <c r="D24" s="141" t="s">
        <v>250</v>
      </c>
      <c r="E24" s="140" t="s">
        <v>171</v>
      </c>
      <c r="F24" s="137">
        <v>149.21</v>
      </c>
    </row>
    <row r="25" spans="1:6" ht="12.75">
      <c r="A25" s="140" t="s">
        <v>1094</v>
      </c>
      <c r="B25" s="140" t="s">
        <v>243</v>
      </c>
      <c r="C25" s="140" t="s">
        <v>244</v>
      </c>
      <c r="D25" s="141" t="s">
        <v>1095</v>
      </c>
      <c r="E25" s="140" t="s">
        <v>245</v>
      </c>
      <c r="F25" s="137">
        <v>48.16</v>
      </c>
    </row>
    <row r="26" spans="1:6" ht="12.75">
      <c r="A26" s="140" t="s">
        <v>1132</v>
      </c>
      <c r="B26" s="140" t="s">
        <v>243</v>
      </c>
      <c r="C26" s="140" t="s">
        <v>244</v>
      </c>
      <c r="D26" s="141" t="s">
        <v>1133</v>
      </c>
      <c r="E26" s="140" t="s">
        <v>245</v>
      </c>
      <c r="F26" s="137">
        <v>37.37</v>
      </c>
    </row>
    <row r="27" spans="1:6" ht="22.5">
      <c r="A27" s="140" t="s">
        <v>1190</v>
      </c>
      <c r="B27" s="140" t="s">
        <v>243</v>
      </c>
      <c r="C27" s="140" t="s">
        <v>244</v>
      </c>
      <c r="D27" s="141" t="s">
        <v>1191</v>
      </c>
      <c r="E27" s="140" t="s">
        <v>168</v>
      </c>
      <c r="F27" s="137">
        <v>85.57</v>
      </c>
    </row>
    <row r="28" spans="1:6" ht="12.75">
      <c r="A28" s="140" t="s">
        <v>1112</v>
      </c>
      <c r="B28" s="140" t="s">
        <v>243</v>
      </c>
      <c r="C28" s="140" t="s">
        <v>244</v>
      </c>
      <c r="D28" s="141" t="s">
        <v>1113</v>
      </c>
      <c r="E28" s="140" t="s">
        <v>168</v>
      </c>
      <c r="F28" s="137">
        <v>11.42</v>
      </c>
    </row>
    <row r="29" spans="1:6" ht="12.75">
      <c r="A29" s="140" t="s">
        <v>1144</v>
      </c>
      <c r="B29" s="140" t="s">
        <v>243</v>
      </c>
      <c r="C29" s="140" t="s">
        <v>244</v>
      </c>
      <c r="D29" s="141" t="s">
        <v>1145</v>
      </c>
      <c r="E29" s="140" t="s">
        <v>168</v>
      </c>
      <c r="F29" s="137">
        <v>55.89</v>
      </c>
    </row>
    <row r="30" spans="1:6" ht="22.5">
      <c r="A30" s="140" t="s">
        <v>1082</v>
      </c>
      <c r="B30" s="140" t="s">
        <v>243</v>
      </c>
      <c r="C30" s="140" t="s">
        <v>244</v>
      </c>
      <c r="D30" s="141" t="s">
        <v>1083</v>
      </c>
      <c r="E30" s="140" t="s">
        <v>166</v>
      </c>
      <c r="F30" s="137">
        <v>41.12</v>
      </c>
    </row>
    <row r="31" spans="1:6" ht="22.5">
      <c r="A31" s="140" t="s">
        <v>226</v>
      </c>
      <c r="B31" s="140" t="s">
        <v>243</v>
      </c>
      <c r="C31" s="140" t="s">
        <v>244</v>
      </c>
      <c r="D31" s="141" t="s">
        <v>251</v>
      </c>
      <c r="E31" s="140" t="s">
        <v>248</v>
      </c>
      <c r="F31" s="137">
        <v>12.6</v>
      </c>
    </row>
    <row r="32" spans="1:6" ht="22.5">
      <c r="A32" s="140" t="s">
        <v>228</v>
      </c>
      <c r="B32" s="140" t="s">
        <v>243</v>
      </c>
      <c r="C32" s="140" t="s">
        <v>244</v>
      </c>
      <c r="D32" s="141" t="s">
        <v>1106</v>
      </c>
      <c r="E32" s="140" t="s">
        <v>248</v>
      </c>
      <c r="F32" s="137">
        <v>18.26</v>
      </c>
    </row>
    <row r="33" spans="1:6" ht="22.5">
      <c r="A33" s="140" t="s">
        <v>239</v>
      </c>
      <c r="B33" s="140" t="s">
        <v>243</v>
      </c>
      <c r="C33" s="140" t="s">
        <v>244</v>
      </c>
      <c r="D33" s="141" t="s">
        <v>252</v>
      </c>
      <c r="E33" s="140" t="s">
        <v>168</v>
      </c>
      <c r="F33" s="137">
        <v>0.92</v>
      </c>
    </row>
    <row r="34" spans="1:6" ht="12.75">
      <c r="A34" s="140" t="s">
        <v>1126</v>
      </c>
      <c r="B34" s="140" t="s">
        <v>243</v>
      </c>
      <c r="C34" s="140" t="s">
        <v>244</v>
      </c>
      <c r="D34" s="141" t="s">
        <v>1127</v>
      </c>
      <c r="E34" s="140" t="s">
        <v>168</v>
      </c>
      <c r="F34" s="137">
        <v>276.83</v>
      </c>
    </row>
    <row r="35" spans="1:6" ht="12.75">
      <c r="A35" s="140" t="s">
        <v>236</v>
      </c>
      <c r="B35" s="140" t="s">
        <v>243</v>
      </c>
      <c r="C35" s="140" t="s">
        <v>244</v>
      </c>
      <c r="D35" s="141" t="s">
        <v>254</v>
      </c>
      <c r="E35" s="140" t="s">
        <v>245</v>
      </c>
      <c r="F35" s="137">
        <v>31.69</v>
      </c>
    </row>
    <row r="36" spans="1:6" ht="12.75">
      <c r="A36" s="140" t="s">
        <v>1066</v>
      </c>
      <c r="B36" s="140" t="s">
        <v>243</v>
      </c>
      <c r="C36" s="140" t="s">
        <v>244</v>
      </c>
      <c r="D36" s="141" t="s">
        <v>1067</v>
      </c>
      <c r="E36" s="140" t="s">
        <v>166</v>
      </c>
      <c r="F36" s="137">
        <v>260.67</v>
      </c>
    </row>
    <row r="37" spans="1:6" ht="12.75">
      <c r="A37" s="140" t="s">
        <v>1130</v>
      </c>
      <c r="B37" s="140" t="s">
        <v>243</v>
      </c>
      <c r="C37" s="140" t="s">
        <v>244</v>
      </c>
      <c r="D37" s="141" t="s">
        <v>1131</v>
      </c>
      <c r="E37" s="140" t="s">
        <v>168</v>
      </c>
      <c r="F37" s="137">
        <v>41.08</v>
      </c>
    </row>
    <row r="38" spans="1:6" ht="22.5">
      <c r="A38" s="140" t="s">
        <v>1118</v>
      </c>
      <c r="B38" s="140" t="s">
        <v>243</v>
      </c>
      <c r="C38" s="140" t="s">
        <v>244</v>
      </c>
      <c r="D38" s="141" t="s">
        <v>1119</v>
      </c>
      <c r="E38" s="140" t="s">
        <v>168</v>
      </c>
      <c r="F38" s="137">
        <v>10.17</v>
      </c>
    </row>
    <row r="39" spans="1:6" ht="22.5">
      <c r="A39" s="140" t="s">
        <v>1134</v>
      </c>
      <c r="B39" s="140" t="s">
        <v>243</v>
      </c>
      <c r="C39" s="140" t="s">
        <v>244</v>
      </c>
      <c r="D39" s="141" t="s">
        <v>1135</v>
      </c>
      <c r="E39" s="140" t="s">
        <v>166</v>
      </c>
      <c r="F39" s="137">
        <v>472.45</v>
      </c>
    </row>
    <row r="40" spans="1:6" ht="22.5">
      <c r="A40" s="140" t="s">
        <v>1122</v>
      </c>
      <c r="B40" s="140" t="s">
        <v>243</v>
      </c>
      <c r="C40" s="140" t="s">
        <v>244</v>
      </c>
      <c r="D40" s="141" t="s">
        <v>1123</v>
      </c>
      <c r="E40" s="140" t="s">
        <v>168</v>
      </c>
      <c r="F40" s="137">
        <v>19.95</v>
      </c>
    </row>
    <row r="41" spans="1:6" ht="22.5">
      <c r="A41" s="140" t="s">
        <v>1109</v>
      </c>
      <c r="B41" s="140" t="s">
        <v>243</v>
      </c>
      <c r="C41" s="140" t="s">
        <v>244</v>
      </c>
      <c r="D41" s="141" t="s">
        <v>1110</v>
      </c>
      <c r="E41" s="140" t="s">
        <v>167</v>
      </c>
      <c r="F41" s="137">
        <v>65.94</v>
      </c>
    </row>
    <row r="42" spans="1:6" ht="12.75">
      <c r="A42" s="140" t="s">
        <v>1138</v>
      </c>
      <c r="B42" s="140" t="s">
        <v>243</v>
      </c>
      <c r="C42" s="140" t="s">
        <v>244</v>
      </c>
      <c r="D42" s="141" t="s">
        <v>1139</v>
      </c>
      <c r="E42" s="140" t="s">
        <v>168</v>
      </c>
      <c r="F42" s="137">
        <v>12.32</v>
      </c>
    </row>
    <row r="43" spans="1:6" ht="22.5">
      <c r="A43" s="140" t="s">
        <v>235</v>
      </c>
      <c r="B43" s="140" t="s">
        <v>243</v>
      </c>
      <c r="C43" s="140" t="s">
        <v>244</v>
      </c>
      <c r="D43" s="141" t="s">
        <v>255</v>
      </c>
      <c r="E43" s="140" t="s">
        <v>167</v>
      </c>
      <c r="F43" s="137">
        <v>60.43</v>
      </c>
    </row>
    <row r="44" spans="1:6" ht="12.75">
      <c r="A44" s="140" t="s">
        <v>234</v>
      </c>
      <c r="B44" s="140" t="s">
        <v>243</v>
      </c>
      <c r="C44" s="140" t="s">
        <v>244</v>
      </c>
      <c r="D44" s="141" t="s">
        <v>256</v>
      </c>
      <c r="E44" s="140" t="s">
        <v>245</v>
      </c>
      <c r="F44" s="137">
        <v>0.93</v>
      </c>
    </row>
    <row r="45" spans="1:6" ht="12.75">
      <c r="A45" s="140" t="s">
        <v>1090</v>
      </c>
      <c r="B45" s="140" t="s">
        <v>243</v>
      </c>
      <c r="C45" s="140" t="s">
        <v>244</v>
      </c>
      <c r="D45" s="141" t="s">
        <v>1091</v>
      </c>
      <c r="E45" s="140" t="s">
        <v>245</v>
      </c>
      <c r="F45" s="137">
        <v>2.93</v>
      </c>
    </row>
    <row r="46" spans="1:6" ht="12.75">
      <c r="A46" s="140" t="s">
        <v>1160</v>
      </c>
      <c r="B46" s="140" t="s">
        <v>243</v>
      </c>
      <c r="C46" s="140" t="s">
        <v>244</v>
      </c>
      <c r="D46" s="141" t="s">
        <v>1161</v>
      </c>
      <c r="E46" s="140" t="s">
        <v>167</v>
      </c>
      <c r="F46" s="137">
        <v>8.07</v>
      </c>
    </row>
    <row r="47" spans="1:6" ht="12.75">
      <c r="A47" s="140" t="s">
        <v>1116</v>
      </c>
      <c r="B47" s="140" t="s">
        <v>243</v>
      </c>
      <c r="C47" s="140" t="s">
        <v>244</v>
      </c>
      <c r="D47" s="141" t="s">
        <v>1117</v>
      </c>
      <c r="E47" s="140" t="s">
        <v>245</v>
      </c>
      <c r="F47" s="137">
        <v>61.83</v>
      </c>
    </row>
    <row r="48" spans="1:6" ht="33.75">
      <c r="A48" s="140" t="s">
        <v>1219</v>
      </c>
      <c r="B48" s="140" t="s">
        <v>243</v>
      </c>
      <c r="C48" s="140" t="s">
        <v>244</v>
      </c>
      <c r="D48" s="141" t="s">
        <v>1220</v>
      </c>
      <c r="E48" s="140" t="s">
        <v>168</v>
      </c>
      <c r="F48" s="137">
        <v>20</v>
      </c>
    </row>
    <row r="49" spans="1:6" ht="22.5">
      <c r="A49" s="140" t="s">
        <v>1136</v>
      </c>
      <c r="B49" s="140" t="s">
        <v>243</v>
      </c>
      <c r="C49" s="140" t="s">
        <v>244</v>
      </c>
      <c r="D49" s="141" t="s">
        <v>1137</v>
      </c>
      <c r="E49" s="140" t="s">
        <v>168</v>
      </c>
      <c r="F49" s="137">
        <v>21.58</v>
      </c>
    </row>
    <row r="50" spans="1:6" ht="22.5">
      <c r="A50" s="140" t="s">
        <v>1146</v>
      </c>
      <c r="B50" s="140" t="s">
        <v>243</v>
      </c>
      <c r="C50" s="140" t="s">
        <v>244</v>
      </c>
      <c r="D50" s="141" t="s">
        <v>1147</v>
      </c>
      <c r="E50" s="140" t="s">
        <v>168</v>
      </c>
      <c r="F50" s="137">
        <v>25.94</v>
      </c>
    </row>
    <row r="51" spans="1:6" ht="12.75">
      <c r="A51" s="140" t="s">
        <v>1092</v>
      </c>
      <c r="B51" s="140" t="s">
        <v>243</v>
      </c>
      <c r="C51" s="140" t="s">
        <v>244</v>
      </c>
      <c r="D51" s="141" t="s">
        <v>1093</v>
      </c>
      <c r="E51" s="140" t="s">
        <v>245</v>
      </c>
      <c r="F51" s="137">
        <v>1.53</v>
      </c>
    </row>
    <row r="52" spans="1:6" ht="12.75">
      <c r="A52" s="140" t="s">
        <v>1063</v>
      </c>
      <c r="B52" s="140" t="s">
        <v>243</v>
      </c>
      <c r="C52" s="140" t="s">
        <v>244</v>
      </c>
      <c r="D52" s="141" t="s">
        <v>1064</v>
      </c>
      <c r="E52" s="140" t="s">
        <v>168</v>
      </c>
      <c r="F52" s="137">
        <v>29.26</v>
      </c>
    </row>
    <row r="53" spans="1:6" ht="33.75">
      <c r="A53" s="140" t="s">
        <v>1049</v>
      </c>
      <c r="B53" s="140" t="s">
        <v>243</v>
      </c>
      <c r="C53" s="140" t="s">
        <v>244</v>
      </c>
      <c r="D53" s="141" t="s">
        <v>1050</v>
      </c>
      <c r="E53" s="140" t="s">
        <v>1051</v>
      </c>
      <c r="F53" s="137">
        <v>119.5</v>
      </c>
    </row>
    <row r="54" spans="1:6" ht="22.5">
      <c r="A54" s="140" t="s">
        <v>1140</v>
      </c>
      <c r="B54" s="140" t="s">
        <v>243</v>
      </c>
      <c r="C54" s="140" t="s">
        <v>244</v>
      </c>
      <c r="D54" s="141" t="s">
        <v>1141</v>
      </c>
      <c r="E54" s="140" t="s">
        <v>168</v>
      </c>
      <c r="F54" s="137">
        <v>123.6</v>
      </c>
    </row>
    <row r="55" spans="1:6" ht="22.5">
      <c r="A55" s="140" t="s">
        <v>1142</v>
      </c>
      <c r="B55" s="140" t="s">
        <v>243</v>
      </c>
      <c r="C55" s="140" t="s">
        <v>244</v>
      </c>
      <c r="D55" s="141" t="s">
        <v>1143</v>
      </c>
      <c r="E55" s="140" t="s">
        <v>168</v>
      </c>
      <c r="F55" s="137">
        <v>18.54</v>
      </c>
    </row>
    <row r="56" spans="1:6" ht="22.5">
      <c r="A56" s="140" t="s">
        <v>1150</v>
      </c>
      <c r="B56" s="140" t="s">
        <v>243</v>
      </c>
      <c r="C56" s="140" t="s">
        <v>244</v>
      </c>
      <c r="D56" s="141" t="s">
        <v>1151</v>
      </c>
      <c r="E56" s="140" t="s">
        <v>167</v>
      </c>
      <c r="F56" s="137">
        <v>14.53</v>
      </c>
    </row>
    <row r="57" spans="1:6" ht="22.5">
      <c r="A57" s="140" t="s">
        <v>1152</v>
      </c>
      <c r="B57" s="140" t="s">
        <v>243</v>
      </c>
      <c r="C57" s="140" t="s">
        <v>244</v>
      </c>
      <c r="D57" s="141" t="s">
        <v>1153</v>
      </c>
      <c r="E57" s="140" t="s">
        <v>167</v>
      </c>
      <c r="F57" s="137">
        <v>21.1</v>
      </c>
    </row>
    <row r="58" spans="1:6" ht="33.75">
      <c r="A58" s="140" t="s">
        <v>1104</v>
      </c>
      <c r="B58" s="140" t="s">
        <v>243</v>
      </c>
      <c r="C58" s="140" t="s">
        <v>244</v>
      </c>
      <c r="D58" s="141" t="s">
        <v>1105</v>
      </c>
      <c r="E58" s="140" t="s">
        <v>167</v>
      </c>
      <c r="F58" s="137">
        <v>6.18</v>
      </c>
    </row>
    <row r="59" spans="1:6" ht="22.5">
      <c r="A59" s="140" t="s">
        <v>1100</v>
      </c>
      <c r="B59" s="140" t="s">
        <v>243</v>
      </c>
      <c r="C59" s="140" t="s">
        <v>244</v>
      </c>
      <c r="D59" s="141" t="s">
        <v>1101</v>
      </c>
      <c r="E59" s="140" t="s">
        <v>168</v>
      </c>
      <c r="F59" s="137">
        <v>0.25</v>
      </c>
    </row>
    <row r="60" spans="1:6" ht="22.5">
      <c r="A60" s="140" t="s">
        <v>1102</v>
      </c>
      <c r="B60" s="140" t="s">
        <v>243</v>
      </c>
      <c r="C60" s="140" t="s">
        <v>244</v>
      </c>
      <c r="D60" s="141" t="s">
        <v>1103</v>
      </c>
      <c r="E60" s="140" t="s">
        <v>1042</v>
      </c>
      <c r="F60" s="137">
        <v>48.48</v>
      </c>
    </row>
    <row r="61" spans="1:6" ht="12.75">
      <c r="A61" s="140" t="s">
        <v>1086</v>
      </c>
      <c r="B61" s="140" t="s">
        <v>243</v>
      </c>
      <c r="C61" s="140" t="s">
        <v>244</v>
      </c>
      <c r="D61" s="141" t="s">
        <v>1087</v>
      </c>
      <c r="E61" s="140" t="s">
        <v>245</v>
      </c>
      <c r="F61" s="137">
        <v>11.39</v>
      </c>
    </row>
    <row r="62" spans="1:6" ht="22.5">
      <c r="A62" s="140" t="s">
        <v>207</v>
      </c>
      <c r="B62" s="140" t="s">
        <v>243</v>
      </c>
      <c r="C62" s="140" t="s">
        <v>258</v>
      </c>
      <c r="D62" s="141" t="s">
        <v>1028</v>
      </c>
      <c r="E62" s="140" t="s">
        <v>1026</v>
      </c>
      <c r="F62" s="137">
        <v>22.3</v>
      </c>
    </row>
    <row r="63" spans="1:6" ht="22.5">
      <c r="A63" s="140" t="s">
        <v>206</v>
      </c>
      <c r="B63" s="140" t="s">
        <v>243</v>
      </c>
      <c r="C63" s="140" t="s">
        <v>258</v>
      </c>
      <c r="D63" s="141" t="s">
        <v>1029</v>
      </c>
      <c r="E63" s="140" t="s">
        <v>1030</v>
      </c>
      <c r="F63" s="137">
        <v>21.03</v>
      </c>
    </row>
    <row r="64" spans="1:6" ht="22.5">
      <c r="A64" s="140" t="s">
        <v>231</v>
      </c>
      <c r="B64" s="140" t="s">
        <v>243</v>
      </c>
      <c r="C64" s="140" t="s">
        <v>258</v>
      </c>
      <c r="D64" s="141" t="s">
        <v>1070</v>
      </c>
      <c r="E64" s="140" t="s">
        <v>171</v>
      </c>
      <c r="F64" s="137">
        <v>631.86</v>
      </c>
    </row>
    <row r="65" spans="1:6" ht="22.5">
      <c r="A65" s="140" t="s">
        <v>291</v>
      </c>
      <c r="B65" s="140" t="s">
        <v>243</v>
      </c>
      <c r="C65" s="140" t="s">
        <v>258</v>
      </c>
      <c r="D65" s="141" t="s">
        <v>292</v>
      </c>
      <c r="E65" s="140" t="s">
        <v>166</v>
      </c>
      <c r="F65" s="137">
        <v>24.36</v>
      </c>
    </row>
    <row r="66" spans="1:6" ht="45">
      <c r="A66" s="140" t="s">
        <v>278</v>
      </c>
      <c r="B66" s="140" t="s">
        <v>243</v>
      </c>
      <c r="C66" s="140" t="s">
        <v>258</v>
      </c>
      <c r="D66" s="141" t="s">
        <v>279</v>
      </c>
      <c r="E66" s="140" t="s">
        <v>166</v>
      </c>
      <c r="F66" s="137">
        <v>117.46</v>
      </c>
    </row>
    <row r="67" spans="1:6" ht="33.75">
      <c r="A67" s="140" t="s">
        <v>288</v>
      </c>
      <c r="B67" s="140" t="s">
        <v>243</v>
      </c>
      <c r="C67" s="140" t="s">
        <v>258</v>
      </c>
      <c r="D67" s="141" t="s">
        <v>289</v>
      </c>
      <c r="E67" s="140" t="s">
        <v>166</v>
      </c>
      <c r="F67" s="137">
        <v>3.94</v>
      </c>
    </row>
    <row r="68" spans="1:6" ht="33.75">
      <c r="A68" s="140" t="s">
        <v>230</v>
      </c>
      <c r="B68" s="140" t="s">
        <v>243</v>
      </c>
      <c r="C68" s="140" t="s">
        <v>258</v>
      </c>
      <c r="D68" s="141" t="s">
        <v>1194</v>
      </c>
      <c r="E68" s="140" t="s">
        <v>166</v>
      </c>
      <c r="F68" s="137">
        <v>8.34</v>
      </c>
    </row>
    <row r="69" spans="1:6" ht="12.75">
      <c r="A69" s="140" t="s">
        <v>202</v>
      </c>
      <c r="B69" s="140" t="s">
        <v>243</v>
      </c>
      <c r="C69" s="140" t="s">
        <v>258</v>
      </c>
      <c r="D69" s="141" t="s">
        <v>1021</v>
      </c>
      <c r="E69" s="140" t="s">
        <v>152</v>
      </c>
      <c r="F69" s="137">
        <v>19.73</v>
      </c>
    </row>
    <row r="70" spans="1:6" ht="12.75">
      <c r="A70" s="140" t="s">
        <v>1213</v>
      </c>
      <c r="B70" s="140" t="s">
        <v>243</v>
      </c>
      <c r="C70" s="140" t="s">
        <v>258</v>
      </c>
      <c r="D70" s="141" t="s">
        <v>1214</v>
      </c>
      <c r="E70" s="140" t="s">
        <v>152</v>
      </c>
      <c r="F70" s="137">
        <v>21.41</v>
      </c>
    </row>
    <row r="71" spans="1:6" ht="12.75">
      <c r="A71" s="140" t="s">
        <v>213</v>
      </c>
      <c r="B71" s="140" t="s">
        <v>243</v>
      </c>
      <c r="C71" s="140" t="s">
        <v>258</v>
      </c>
      <c r="D71" s="141" t="s">
        <v>1040</v>
      </c>
      <c r="E71" s="140" t="s">
        <v>152</v>
      </c>
      <c r="F71" s="137">
        <v>19.7</v>
      </c>
    </row>
    <row r="72" spans="1:6" ht="12.75">
      <c r="A72" s="140" t="s">
        <v>1077</v>
      </c>
      <c r="B72" s="140" t="s">
        <v>243</v>
      </c>
      <c r="C72" s="140" t="s">
        <v>258</v>
      </c>
      <c r="D72" s="141" t="s">
        <v>1078</v>
      </c>
      <c r="E72" s="140" t="s">
        <v>152</v>
      </c>
      <c r="F72" s="137">
        <v>24.95</v>
      </c>
    </row>
    <row r="73" spans="1:6" ht="12.75">
      <c r="A73" s="140" t="s">
        <v>216</v>
      </c>
      <c r="B73" s="140" t="s">
        <v>243</v>
      </c>
      <c r="C73" s="140" t="s">
        <v>258</v>
      </c>
      <c r="D73" s="141" t="s">
        <v>1148</v>
      </c>
      <c r="E73" s="140" t="s">
        <v>152</v>
      </c>
      <c r="F73" s="137">
        <v>19.65</v>
      </c>
    </row>
    <row r="74" spans="1:6" ht="22.5">
      <c r="A74" s="140" t="s">
        <v>204</v>
      </c>
      <c r="B74" s="140" t="s">
        <v>243</v>
      </c>
      <c r="C74" s="140" t="s">
        <v>258</v>
      </c>
      <c r="D74" s="141" t="s">
        <v>1035</v>
      </c>
      <c r="E74" s="140" t="s">
        <v>152</v>
      </c>
      <c r="F74" s="137">
        <v>19.31</v>
      </c>
    </row>
    <row r="75" spans="1:6" ht="12.75">
      <c r="A75" s="140" t="s">
        <v>212</v>
      </c>
      <c r="B75" s="140" t="s">
        <v>243</v>
      </c>
      <c r="C75" s="140" t="s">
        <v>258</v>
      </c>
      <c r="D75" s="141" t="s">
        <v>1060</v>
      </c>
      <c r="E75" s="140" t="s">
        <v>152</v>
      </c>
      <c r="F75" s="137">
        <v>19.82</v>
      </c>
    </row>
    <row r="76" spans="1:6" ht="12.75">
      <c r="A76" s="140" t="s">
        <v>225</v>
      </c>
      <c r="B76" s="140" t="s">
        <v>243</v>
      </c>
      <c r="C76" s="140" t="s">
        <v>258</v>
      </c>
      <c r="D76" s="141" t="s">
        <v>1027</v>
      </c>
      <c r="E76" s="140" t="s">
        <v>152</v>
      </c>
      <c r="F76" s="137">
        <v>25</v>
      </c>
    </row>
    <row r="77" spans="1:6" ht="12.75">
      <c r="A77" s="140" t="s">
        <v>1043</v>
      </c>
      <c r="B77" s="140" t="s">
        <v>243</v>
      </c>
      <c r="C77" s="140" t="s">
        <v>258</v>
      </c>
      <c r="D77" s="141" t="s">
        <v>1044</v>
      </c>
      <c r="E77" s="140" t="s">
        <v>152</v>
      </c>
      <c r="F77" s="137">
        <v>23.82</v>
      </c>
    </row>
    <row r="78" spans="1:6" ht="12.75">
      <c r="A78" s="140" t="s">
        <v>219</v>
      </c>
      <c r="B78" s="140" t="s">
        <v>243</v>
      </c>
      <c r="C78" s="140" t="s">
        <v>258</v>
      </c>
      <c r="D78" s="141" t="s">
        <v>1020</v>
      </c>
      <c r="E78" s="140" t="s">
        <v>152</v>
      </c>
      <c r="F78" s="137">
        <v>24.83</v>
      </c>
    </row>
    <row r="79" spans="1:6" ht="12.75">
      <c r="A79" s="140" t="s">
        <v>215</v>
      </c>
      <c r="B79" s="140" t="s">
        <v>243</v>
      </c>
      <c r="C79" s="140" t="s">
        <v>258</v>
      </c>
      <c r="D79" s="141" t="s">
        <v>1039</v>
      </c>
      <c r="E79" s="140" t="s">
        <v>152</v>
      </c>
      <c r="F79" s="137">
        <v>25.34</v>
      </c>
    </row>
    <row r="80" spans="1:6" ht="12.75">
      <c r="A80" s="140" t="s">
        <v>205</v>
      </c>
      <c r="B80" s="140" t="s">
        <v>243</v>
      </c>
      <c r="C80" s="140" t="s">
        <v>258</v>
      </c>
      <c r="D80" s="141" t="s">
        <v>1034</v>
      </c>
      <c r="E80" s="140" t="s">
        <v>152</v>
      </c>
      <c r="F80" s="137">
        <v>24.48</v>
      </c>
    </row>
    <row r="81" spans="1:6" ht="12.75">
      <c r="A81" s="140" t="s">
        <v>229</v>
      </c>
      <c r="B81" s="140" t="s">
        <v>243</v>
      </c>
      <c r="C81" s="140" t="s">
        <v>258</v>
      </c>
      <c r="D81" s="141" t="s">
        <v>1107</v>
      </c>
      <c r="E81" s="140" t="s">
        <v>152</v>
      </c>
      <c r="F81" s="137">
        <v>25.09</v>
      </c>
    </row>
    <row r="82" spans="1:6" ht="12.75">
      <c r="A82" s="140" t="s">
        <v>1047</v>
      </c>
      <c r="B82" s="140" t="s">
        <v>243</v>
      </c>
      <c r="C82" s="140" t="s">
        <v>258</v>
      </c>
      <c r="D82" s="141" t="s">
        <v>1048</v>
      </c>
      <c r="E82" s="140" t="s">
        <v>152</v>
      </c>
      <c r="F82" s="137">
        <v>23.53</v>
      </c>
    </row>
    <row r="83" spans="1:6" ht="12.75">
      <c r="A83" s="140" t="s">
        <v>232</v>
      </c>
      <c r="B83" s="140" t="s">
        <v>243</v>
      </c>
      <c r="C83" s="140" t="s">
        <v>258</v>
      </c>
      <c r="D83" s="141" t="s">
        <v>1108</v>
      </c>
      <c r="E83" s="140" t="s">
        <v>152</v>
      </c>
      <c r="F83" s="137">
        <v>25</v>
      </c>
    </row>
    <row r="84" spans="1:6" ht="12.75">
      <c r="A84" s="140" t="s">
        <v>1215</v>
      </c>
      <c r="B84" s="140" t="s">
        <v>243</v>
      </c>
      <c r="C84" s="140" t="s">
        <v>258</v>
      </c>
      <c r="D84" s="141" t="s">
        <v>1216</v>
      </c>
      <c r="E84" s="140" t="s">
        <v>152</v>
      </c>
      <c r="F84" s="137">
        <v>19.77</v>
      </c>
    </row>
    <row r="85" spans="1:6" ht="12.75">
      <c r="A85" s="140" t="s">
        <v>218</v>
      </c>
      <c r="B85" s="140" t="s">
        <v>243</v>
      </c>
      <c r="C85" s="140" t="s">
        <v>258</v>
      </c>
      <c r="D85" s="141" t="s">
        <v>1041</v>
      </c>
      <c r="E85" s="140" t="s">
        <v>152</v>
      </c>
      <c r="F85" s="137">
        <v>19.1</v>
      </c>
    </row>
    <row r="86" spans="1:6" ht="12.75">
      <c r="A86" s="140" t="s">
        <v>210</v>
      </c>
      <c r="B86" s="140" t="s">
        <v>243</v>
      </c>
      <c r="C86" s="140" t="s">
        <v>258</v>
      </c>
      <c r="D86" s="141" t="s">
        <v>1033</v>
      </c>
      <c r="E86" s="140" t="s">
        <v>152</v>
      </c>
      <c r="F86" s="137">
        <v>25.09</v>
      </c>
    </row>
    <row r="87" spans="1:6" ht="12.75">
      <c r="A87" s="140" t="s">
        <v>227</v>
      </c>
      <c r="B87" s="140" t="s">
        <v>243</v>
      </c>
      <c r="C87" s="140" t="s">
        <v>258</v>
      </c>
      <c r="D87" s="141" t="s">
        <v>1036</v>
      </c>
      <c r="E87" s="140" t="s">
        <v>152</v>
      </c>
      <c r="F87" s="137">
        <v>26.15</v>
      </c>
    </row>
    <row r="88" spans="1:6" ht="12.75">
      <c r="A88" s="140" t="s">
        <v>211</v>
      </c>
      <c r="B88" s="140" t="s">
        <v>243</v>
      </c>
      <c r="C88" s="140" t="s">
        <v>258</v>
      </c>
      <c r="D88" s="141" t="s">
        <v>1111</v>
      </c>
      <c r="E88" s="140" t="s">
        <v>152</v>
      </c>
      <c r="F88" s="137">
        <v>24.95</v>
      </c>
    </row>
    <row r="89" spans="1:6" ht="12.75">
      <c r="A89" s="140" t="s">
        <v>200</v>
      </c>
      <c r="B89" s="140" t="s">
        <v>243</v>
      </c>
      <c r="C89" s="140" t="s">
        <v>258</v>
      </c>
      <c r="D89" s="141" t="s">
        <v>1022</v>
      </c>
      <c r="E89" s="140" t="s">
        <v>152</v>
      </c>
      <c r="F89" s="137">
        <v>18.65</v>
      </c>
    </row>
    <row r="90" spans="1:6" ht="12.75">
      <c r="A90" s="140" t="s">
        <v>214</v>
      </c>
      <c r="B90" s="140" t="s">
        <v>243</v>
      </c>
      <c r="C90" s="140" t="s">
        <v>258</v>
      </c>
      <c r="D90" s="141" t="s">
        <v>1065</v>
      </c>
      <c r="E90" s="140" t="s">
        <v>152</v>
      </c>
      <c r="F90" s="137">
        <v>23.17</v>
      </c>
    </row>
    <row r="91" spans="1:6" ht="22.5">
      <c r="A91" s="140" t="s">
        <v>1217</v>
      </c>
      <c r="B91" s="140" t="s">
        <v>243</v>
      </c>
      <c r="C91" s="140" t="s">
        <v>258</v>
      </c>
      <c r="D91" s="141" t="s">
        <v>1218</v>
      </c>
      <c r="E91" s="140" t="s">
        <v>166</v>
      </c>
      <c r="F91" s="137">
        <v>16.48</v>
      </c>
    </row>
    <row r="92" spans="1:6" ht="22.5">
      <c r="A92" s="140" t="s">
        <v>189</v>
      </c>
      <c r="B92" s="140" t="s">
        <v>243</v>
      </c>
      <c r="C92" s="140" t="s">
        <v>258</v>
      </c>
      <c r="D92" s="141" t="s">
        <v>297</v>
      </c>
      <c r="E92" s="140" t="s">
        <v>166</v>
      </c>
      <c r="F92" s="137">
        <v>15.92</v>
      </c>
    </row>
    <row r="93" spans="1:6" ht="22.5">
      <c r="A93" s="140" t="s">
        <v>188</v>
      </c>
      <c r="B93" s="140" t="s">
        <v>243</v>
      </c>
      <c r="C93" s="140" t="s">
        <v>258</v>
      </c>
      <c r="D93" s="141" t="s">
        <v>299</v>
      </c>
      <c r="E93" s="140" t="s">
        <v>166</v>
      </c>
      <c r="F93" s="137">
        <v>14.06</v>
      </c>
    </row>
    <row r="94" spans="1:6" ht="22.5">
      <c r="A94" s="140" t="s">
        <v>186</v>
      </c>
      <c r="B94" s="140" t="s">
        <v>243</v>
      </c>
      <c r="C94" s="140" t="s">
        <v>258</v>
      </c>
      <c r="D94" s="141" t="s">
        <v>298</v>
      </c>
      <c r="E94" s="140" t="s">
        <v>166</v>
      </c>
      <c r="F94" s="137">
        <v>28.23</v>
      </c>
    </row>
    <row r="95" spans="1:6" ht="22.5">
      <c r="A95" s="140" t="s">
        <v>300</v>
      </c>
      <c r="B95" s="140" t="s">
        <v>243</v>
      </c>
      <c r="C95" s="140" t="s">
        <v>258</v>
      </c>
      <c r="D95" s="141" t="s">
        <v>301</v>
      </c>
      <c r="E95" s="140" t="s">
        <v>166</v>
      </c>
      <c r="F95" s="137">
        <v>16.33</v>
      </c>
    </row>
    <row r="96" spans="1:6" ht="45">
      <c r="A96" s="140" t="s">
        <v>1197</v>
      </c>
      <c r="B96" s="140" t="s">
        <v>243</v>
      </c>
      <c r="C96" s="140" t="s">
        <v>258</v>
      </c>
      <c r="D96" s="141" t="s">
        <v>1198</v>
      </c>
      <c r="E96" s="140" t="s">
        <v>166</v>
      </c>
      <c r="F96" s="137">
        <v>36.51</v>
      </c>
    </row>
    <row r="97" spans="1:6" ht="45">
      <c r="A97" s="140" t="s">
        <v>185</v>
      </c>
      <c r="B97" s="140" t="s">
        <v>243</v>
      </c>
      <c r="C97" s="140" t="s">
        <v>258</v>
      </c>
      <c r="D97" s="141" t="s">
        <v>290</v>
      </c>
      <c r="E97" s="140" t="s">
        <v>166</v>
      </c>
      <c r="F97" s="137">
        <v>35.96</v>
      </c>
    </row>
    <row r="98" spans="1:6" ht="22.5">
      <c r="A98" s="140" t="s">
        <v>1170</v>
      </c>
      <c r="B98" s="140" t="s">
        <v>243</v>
      </c>
      <c r="C98" s="140" t="s">
        <v>258</v>
      </c>
      <c r="D98" s="141" t="s">
        <v>1171</v>
      </c>
      <c r="E98" s="140" t="s">
        <v>167</v>
      </c>
      <c r="F98" s="137">
        <v>32.93</v>
      </c>
    </row>
    <row r="99" spans="1:6" ht="22.5">
      <c r="A99" s="140" t="s">
        <v>1199</v>
      </c>
      <c r="B99" s="140" t="s">
        <v>243</v>
      </c>
      <c r="C99" s="140" t="s">
        <v>258</v>
      </c>
      <c r="D99" s="141" t="s">
        <v>1200</v>
      </c>
      <c r="E99" s="140" t="s">
        <v>167</v>
      </c>
      <c r="F99" s="137">
        <v>54.52</v>
      </c>
    </row>
    <row r="100" spans="1:6" ht="22.5">
      <c r="A100" s="140" t="s">
        <v>366</v>
      </c>
      <c r="B100" s="140" t="s">
        <v>243</v>
      </c>
      <c r="C100" s="140" t="s">
        <v>258</v>
      </c>
      <c r="D100" s="141" t="s">
        <v>367</v>
      </c>
      <c r="E100" s="140" t="s">
        <v>167</v>
      </c>
      <c r="F100" s="137">
        <v>67.89</v>
      </c>
    </row>
    <row r="101" spans="1:6" ht="22.5">
      <c r="A101" s="140" t="s">
        <v>1172</v>
      </c>
      <c r="B101" s="140" t="s">
        <v>243</v>
      </c>
      <c r="C101" s="140" t="s">
        <v>258</v>
      </c>
      <c r="D101" s="141" t="s">
        <v>1173</v>
      </c>
      <c r="E101" s="140" t="s">
        <v>168</v>
      </c>
      <c r="F101" s="137">
        <v>40.44</v>
      </c>
    </row>
    <row r="102" spans="1:6" ht="22.5">
      <c r="A102" s="140" t="s">
        <v>1174</v>
      </c>
      <c r="B102" s="140" t="s">
        <v>243</v>
      </c>
      <c r="C102" s="140" t="s">
        <v>258</v>
      </c>
      <c r="D102" s="141" t="s">
        <v>1175</v>
      </c>
      <c r="E102" s="140" t="s">
        <v>168</v>
      </c>
      <c r="F102" s="137">
        <v>45.78</v>
      </c>
    </row>
    <row r="103" spans="1:6" ht="22.5">
      <c r="A103" s="140" t="s">
        <v>1211</v>
      </c>
      <c r="B103" s="140" t="s">
        <v>243</v>
      </c>
      <c r="C103" s="140" t="s">
        <v>258</v>
      </c>
      <c r="D103" s="141" t="s">
        <v>1212</v>
      </c>
      <c r="E103" s="140" t="s">
        <v>168</v>
      </c>
      <c r="F103" s="137">
        <v>129.25</v>
      </c>
    </row>
    <row r="104" spans="1:6" ht="22.5">
      <c r="A104" s="140" t="s">
        <v>1201</v>
      </c>
      <c r="B104" s="140" t="s">
        <v>243</v>
      </c>
      <c r="C104" s="140" t="s">
        <v>258</v>
      </c>
      <c r="D104" s="141" t="s">
        <v>1202</v>
      </c>
      <c r="E104" s="140" t="s">
        <v>168</v>
      </c>
      <c r="F104" s="137">
        <v>96.73</v>
      </c>
    </row>
    <row r="105" spans="1:6" ht="22.5">
      <c r="A105" s="140" t="s">
        <v>372</v>
      </c>
      <c r="B105" s="140" t="s">
        <v>243</v>
      </c>
      <c r="C105" s="140" t="s">
        <v>258</v>
      </c>
      <c r="D105" s="141" t="s">
        <v>373</v>
      </c>
      <c r="E105" s="140" t="s">
        <v>168</v>
      </c>
      <c r="F105" s="137">
        <v>152.43</v>
      </c>
    </row>
    <row r="106" spans="1:6" ht="22.5">
      <c r="A106" s="140" t="s">
        <v>1176</v>
      </c>
      <c r="B106" s="140" t="s">
        <v>243</v>
      </c>
      <c r="C106" s="140" t="s">
        <v>258</v>
      </c>
      <c r="D106" s="141" t="s">
        <v>1177</v>
      </c>
      <c r="E106" s="140" t="s">
        <v>168</v>
      </c>
      <c r="F106" s="137">
        <v>22.93</v>
      </c>
    </row>
    <row r="107" spans="1:6" ht="22.5">
      <c r="A107" s="140" t="s">
        <v>1178</v>
      </c>
      <c r="B107" s="140" t="s">
        <v>243</v>
      </c>
      <c r="C107" s="140" t="s">
        <v>258</v>
      </c>
      <c r="D107" s="141" t="s">
        <v>1179</v>
      </c>
      <c r="E107" s="140" t="s">
        <v>168</v>
      </c>
      <c r="F107" s="137">
        <v>105.79</v>
      </c>
    </row>
    <row r="108" spans="1:6" ht="33.75">
      <c r="A108" s="140" t="s">
        <v>1180</v>
      </c>
      <c r="B108" s="140" t="s">
        <v>243</v>
      </c>
      <c r="C108" s="140" t="s">
        <v>258</v>
      </c>
      <c r="D108" s="141" t="s">
        <v>1181</v>
      </c>
      <c r="E108" s="140" t="s">
        <v>168</v>
      </c>
      <c r="F108" s="137">
        <v>22.95</v>
      </c>
    </row>
    <row r="109" spans="1:6" ht="22.5">
      <c r="A109" s="140" t="s">
        <v>1203</v>
      </c>
      <c r="B109" s="140" t="s">
        <v>243</v>
      </c>
      <c r="C109" s="140" t="s">
        <v>258</v>
      </c>
      <c r="D109" s="141" t="s">
        <v>1204</v>
      </c>
      <c r="E109" s="140" t="s">
        <v>168</v>
      </c>
      <c r="F109" s="137">
        <v>37.77</v>
      </c>
    </row>
    <row r="110" spans="1:6" ht="22.5">
      <c r="A110" s="140" t="s">
        <v>1205</v>
      </c>
      <c r="B110" s="140" t="s">
        <v>243</v>
      </c>
      <c r="C110" s="140" t="s">
        <v>258</v>
      </c>
      <c r="D110" s="141" t="s">
        <v>1206</v>
      </c>
      <c r="E110" s="140" t="s">
        <v>168</v>
      </c>
      <c r="F110" s="137">
        <v>209.19</v>
      </c>
    </row>
    <row r="111" spans="1:6" ht="33.75">
      <c r="A111" s="140" t="s">
        <v>1207</v>
      </c>
      <c r="B111" s="140" t="s">
        <v>243</v>
      </c>
      <c r="C111" s="140" t="s">
        <v>258</v>
      </c>
      <c r="D111" s="141" t="s">
        <v>1208</v>
      </c>
      <c r="E111" s="140" t="s">
        <v>168</v>
      </c>
      <c r="F111" s="137">
        <v>33.48</v>
      </c>
    </row>
    <row r="112" spans="1:6" ht="22.5">
      <c r="A112" s="140" t="s">
        <v>1182</v>
      </c>
      <c r="B112" s="140" t="s">
        <v>243</v>
      </c>
      <c r="C112" s="140" t="s">
        <v>258</v>
      </c>
      <c r="D112" s="141" t="s">
        <v>1183</v>
      </c>
      <c r="E112" s="140" t="s">
        <v>168</v>
      </c>
      <c r="F112" s="137">
        <v>51.51</v>
      </c>
    </row>
    <row r="113" spans="1:6" ht="22.5">
      <c r="A113" s="140" t="s">
        <v>1209</v>
      </c>
      <c r="B113" s="140" t="s">
        <v>243</v>
      </c>
      <c r="C113" s="140" t="s">
        <v>258</v>
      </c>
      <c r="D113" s="141" t="s">
        <v>1210</v>
      </c>
      <c r="E113" s="140" t="s">
        <v>168</v>
      </c>
      <c r="F113" s="137">
        <v>95.6</v>
      </c>
    </row>
    <row r="114" spans="1:6" ht="22.5">
      <c r="A114" s="140" t="s">
        <v>370</v>
      </c>
      <c r="B114" s="140" t="s">
        <v>243</v>
      </c>
      <c r="C114" s="140" t="s">
        <v>258</v>
      </c>
      <c r="D114" s="141" t="s">
        <v>371</v>
      </c>
      <c r="E114" s="140" t="s">
        <v>168</v>
      </c>
      <c r="F114" s="137">
        <v>147.14</v>
      </c>
    </row>
    <row r="115" spans="1:6" ht="33.75">
      <c r="A115" s="140" t="s">
        <v>362</v>
      </c>
      <c r="B115" s="140" t="s">
        <v>243</v>
      </c>
      <c r="C115" s="140" t="s">
        <v>258</v>
      </c>
      <c r="D115" s="141" t="s">
        <v>363</v>
      </c>
      <c r="E115" s="140" t="s">
        <v>168</v>
      </c>
      <c r="F115" s="137">
        <v>91.3</v>
      </c>
    </row>
    <row r="116" spans="1:6" ht="33.75">
      <c r="A116" s="140" t="s">
        <v>352</v>
      </c>
      <c r="B116" s="140" t="s">
        <v>243</v>
      </c>
      <c r="C116" s="140" t="s">
        <v>258</v>
      </c>
      <c r="D116" s="141" t="s">
        <v>353</v>
      </c>
      <c r="E116" s="140" t="s">
        <v>168</v>
      </c>
      <c r="F116" s="137">
        <v>75.74</v>
      </c>
    </row>
    <row r="117" spans="1:6" ht="33.75">
      <c r="A117" s="140" t="s">
        <v>350</v>
      </c>
      <c r="B117" s="140" t="s">
        <v>243</v>
      </c>
      <c r="C117" s="140" t="s">
        <v>258</v>
      </c>
      <c r="D117" s="141" t="s">
        <v>351</v>
      </c>
      <c r="E117" s="140" t="s">
        <v>168</v>
      </c>
      <c r="F117" s="137">
        <v>79.72</v>
      </c>
    </row>
    <row r="118" spans="1:6" ht="22.5">
      <c r="A118" s="140" t="s">
        <v>1184</v>
      </c>
      <c r="B118" s="140" t="s">
        <v>243</v>
      </c>
      <c r="C118" s="140" t="s">
        <v>258</v>
      </c>
      <c r="D118" s="141" t="s">
        <v>1185</v>
      </c>
      <c r="E118" s="140" t="s">
        <v>168</v>
      </c>
      <c r="F118" s="137">
        <v>32.98</v>
      </c>
    </row>
    <row r="119" spans="1:6" ht="12.75">
      <c r="A119" s="140" t="s">
        <v>172</v>
      </c>
      <c r="B119" s="140" t="s">
        <v>243</v>
      </c>
      <c r="C119" s="140" t="s">
        <v>258</v>
      </c>
      <c r="D119" s="141" t="s">
        <v>381</v>
      </c>
      <c r="E119" s="140" t="s">
        <v>168</v>
      </c>
      <c r="F119" s="137">
        <v>117.26</v>
      </c>
    </row>
    <row r="120" spans="1:6" ht="22.5">
      <c r="A120" s="140" t="s">
        <v>265</v>
      </c>
      <c r="B120" s="140" t="s">
        <v>243</v>
      </c>
      <c r="C120" s="140" t="s">
        <v>258</v>
      </c>
      <c r="D120" s="141" t="s">
        <v>266</v>
      </c>
      <c r="E120" s="140" t="s">
        <v>167</v>
      </c>
      <c r="F120" s="137">
        <v>12.34</v>
      </c>
    </row>
    <row r="121" spans="1:6" ht="22.5">
      <c r="A121" s="140" t="s">
        <v>1186</v>
      </c>
      <c r="B121" s="140" t="s">
        <v>243</v>
      </c>
      <c r="C121" s="140" t="s">
        <v>258</v>
      </c>
      <c r="D121" s="141" t="s">
        <v>1187</v>
      </c>
      <c r="E121" s="140" t="s">
        <v>168</v>
      </c>
      <c r="F121" s="137">
        <v>5.33</v>
      </c>
    </row>
    <row r="122" spans="1:6" ht="22.5">
      <c r="A122" s="140" t="s">
        <v>282</v>
      </c>
      <c r="B122" s="140" t="s">
        <v>243</v>
      </c>
      <c r="C122" s="140" t="s">
        <v>258</v>
      </c>
      <c r="D122" s="141" t="s">
        <v>283</v>
      </c>
      <c r="E122" s="140" t="s">
        <v>167</v>
      </c>
      <c r="F122" s="137">
        <v>12.48</v>
      </c>
    </row>
    <row r="123" spans="1:6" ht="22.5">
      <c r="A123" s="140" t="s">
        <v>1073</v>
      </c>
      <c r="B123" s="140" t="s">
        <v>243</v>
      </c>
      <c r="C123" s="140" t="s">
        <v>258</v>
      </c>
      <c r="D123" s="141" t="s">
        <v>1074</v>
      </c>
      <c r="E123" s="140" t="s">
        <v>1026</v>
      </c>
      <c r="F123" s="137">
        <v>1.24</v>
      </c>
    </row>
    <row r="124" spans="1:6" ht="22.5">
      <c r="A124" s="140" t="s">
        <v>1075</v>
      </c>
      <c r="B124" s="140" t="s">
        <v>243</v>
      </c>
      <c r="C124" s="140" t="s">
        <v>258</v>
      </c>
      <c r="D124" s="141" t="s">
        <v>1076</v>
      </c>
      <c r="E124" s="140" t="s">
        <v>1030</v>
      </c>
      <c r="F124" s="137">
        <v>0.49</v>
      </c>
    </row>
    <row r="125" spans="1:6" ht="12.75">
      <c r="A125" s="140" t="s">
        <v>181</v>
      </c>
      <c r="B125" s="140" t="s">
        <v>243</v>
      </c>
      <c r="C125" s="140" t="s">
        <v>258</v>
      </c>
      <c r="D125" s="141" t="s">
        <v>397</v>
      </c>
      <c r="E125" s="140" t="s">
        <v>152</v>
      </c>
      <c r="F125" s="137">
        <v>104.39</v>
      </c>
    </row>
    <row r="126" spans="1:6" ht="22.5">
      <c r="A126" s="140" t="s">
        <v>209</v>
      </c>
      <c r="B126" s="140" t="s">
        <v>243</v>
      </c>
      <c r="C126" s="140" t="s">
        <v>258</v>
      </c>
      <c r="D126" s="141" t="s">
        <v>1032</v>
      </c>
      <c r="E126" s="140" t="s">
        <v>1026</v>
      </c>
      <c r="F126" s="137">
        <v>78.09</v>
      </c>
    </row>
    <row r="127" spans="1:6" ht="22.5">
      <c r="A127" s="140" t="s">
        <v>208</v>
      </c>
      <c r="B127" s="140" t="s">
        <v>243</v>
      </c>
      <c r="C127" s="140" t="s">
        <v>258</v>
      </c>
      <c r="D127" s="141" t="s">
        <v>1031</v>
      </c>
      <c r="E127" s="140" t="s">
        <v>1030</v>
      </c>
      <c r="F127" s="137">
        <v>6.51</v>
      </c>
    </row>
    <row r="128" spans="1:6" ht="33.75">
      <c r="A128" s="140" t="s">
        <v>1054</v>
      </c>
      <c r="B128" s="140" t="s">
        <v>243</v>
      </c>
      <c r="C128" s="140" t="s">
        <v>258</v>
      </c>
      <c r="D128" s="141" t="s">
        <v>1055</v>
      </c>
      <c r="E128" s="140" t="s">
        <v>168</v>
      </c>
      <c r="F128" s="137">
        <v>419.01</v>
      </c>
    </row>
    <row r="129" spans="1:6" ht="33.75">
      <c r="A129" s="140" t="s">
        <v>1045</v>
      </c>
      <c r="B129" s="140" t="s">
        <v>243</v>
      </c>
      <c r="C129" s="140" t="s">
        <v>258</v>
      </c>
      <c r="D129" s="141" t="s">
        <v>1046</v>
      </c>
      <c r="E129" s="140" t="s">
        <v>168</v>
      </c>
      <c r="F129" s="137">
        <v>466.52</v>
      </c>
    </row>
    <row r="130" spans="1:6" ht="45">
      <c r="A130" s="140" t="s">
        <v>240</v>
      </c>
      <c r="B130" s="140" t="s">
        <v>243</v>
      </c>
      <c r="C130" s="140" t="s">
        <v>258</v>
      </c>
      <c r="D130" s="141" t="s">
        <v>1149</v>
      </c>
      <c r="E130" s="140" t="s">
        <v>167</v>
      </c>
      <c r="F130" s="137">
        <v>3.04</v>
      </c>
    </row>
    <row r="131" spans="1:6" ht="33.75">
      <c r="A131" s="140" t="s">
        <v>376</v>
      </c>
      <c r="B131" s="140" t="s">
        <v>243</v>
      </c>
      <c r="C131" s="140" t="s">
        <v>258</v>
      </c>
      <c r="D131" s="141" t="s">
        <v>377</v>
      </c>
      <c r="E131" s="140" t="s">
        <v>167</v>
      </c>
      <c r="F131" s="137">
        <v>5.59</v>
      </c>
    </row>
    <row r="132" spans="1:6" ht="33.75">
      <c r="A132" s="140" t="s">
        <v>374</v>
      </c>
      <c r="B132" s="140" t="s">
        <v>243</v>
      </c>
      <c r="C132" s="140" t="s">
        <v>258</v>
      </c>
      <c r="D132" s="141" t="s">
        <v>375</v>
      </c>
      <c r="E132" s="140" t="s">
        <v>167</v>
      </c>
      <c r="F132" s="137">
        <v>6.42</v>
      </c>
    </row>
    <row r="133" spans="1:6" ht="22.5">
      <c r="A133" s="140" t="s">
        <v>1188</v>
      </c>
      <c r="B133" s="140" t="s">
        <v>243</v>
      </c>
      <c r="C133" s="140" t="s">
        <v>258</v>
      </c>
      <c r="D133" s="141" t="s">
        <v>1189</v>
      </c>
      <c r="E133" s="140" t="s">
        <v>168</v>
      </c>
      <c r="F133" s="137">
        <v>5.11</v>
      </c>
    </row>
    <row r="134" spans="1:6" ht="22.5">
      <c r="A134" s="140" t="s">
        <v>221</v>
      </c>
      <c r="B134" s="140" t="s">
        <v>243</v>
      </c>
      <c r="C134" s="140" t="s">
        <v>258</v>
      </c>
      <c r="D134" s="141" t="s">
        <v>1088</v>
      </c>
      <c r="E134" s="140" t="s">
        <v>1026</v>
      </c>
      <c r="F134" s="137">
        <v>11.56</v>
      </c>
    </row>
    <row r="135" spans="1:6" ht="22.5">
      <c r="A135" s="140" t="s">
        <v>222</v>
      </c>
      <c r="B135" s="140" t="s">
        <v>243</v>
      </c>
      <c r="C135" s="140" t="s">
        <v>258</v>
      </c>
      <c r="D135" s="141" t="s">
        <v>1089</v>
      </c>
      <c r="E135" s="140" t="s">
        <v>1030</v>
      </c>
      <c r="F135" s="137">
        <v>0.61</v>
      </c>
    </row>
    <row r="136" spans="1:6" ht="33.75">
      <c r="A136" s="140" t="s">
        <v>1024</v>
      </c>
      <c r="B136" s="140" t="s">
        <v>243</v>
      </c>
      <c r="C136" s="140" t="s">
        <v>258</v>
      </c>
      <c r="D136" s="141" t="s">
        <v>1025</v>
      </c>
      <c r="E136" s="140" t="s">
        <v>1026</v>
      </c>
      <c r="F136" s="137">
        <v>211.97</v>
      </c>
    </row>
    <row r="137" spans="1:6" ht="45">
      <c r="A137" s="140" t="s">
        <v>346</v>
      </c>
      <c r="B137" s="140" t="s">
        <v>243</v>
      </c>
      <c r="C137" s="140" t="s">
        <v>258</v>
      </c>
      <c r="D137" s="141" t="s">
        <v>347</v>
      </c>
      <c r="E137" s="140" t="s">
        <v>167</v>
      </c>
      <c r="F137" s="137">
        <v>42.88</v>
      </c>
    </row>
    <row r="138" spans="1:6" ht="45">
      <c r="A138" s="140" t="s">
        <v>344</v>
      </c>
      <c r="B138" s="140" t="s">
        <v>243</v>
      </c>
      <c r="C138" s="140" t="s">
        <v>258</v>
      </c>
      <c r="D138" s="141" t="s">
        <v>345</v>
      </c>
      <c r="E138" s="140" t="s">
        <v>167</v>
      </c>
      <c r="F138" s="137">
        <v>31.11</v>
      </c>
    </row>
    <row r="139" spans="1:6" ht="33.75">
      <c r="A139" s="140" t="s">
        <v>368</v>
      </c>
      <c r="B139" s="140" t="s">
        <v>243</v>
      </c>
      <c r="C139" s="140" t="s">
        <v>258</v>
      </c>
      <c r="D139" s="141" t="s">
        <v>369</v>
      </c>
      <c r="E139" s="140" t="s">
        <v>167</v>
      </c>
      <c r="F139" s="137">
        <v>45.83</v>
      </c>
    </row>
    <row r="140" spans="1:6" ht="45">
      <c r="A140" s="140" t="s">
        <v>360</v>
      </c>
      <c r="B140" s="140" t="s">
        <v>243</v>
      </c>
      <c r="C140" s="140" t="s">
        <v>258</v>
      </c>
      <c r="D140" s="141" t="s">
        <v>361</v>
      </c>
      <c r="E140" s="140" t="s">
        <v>167</v>
      </c>
      <c r="F140" s="137">
        <v>58.78</v>
      </c>
    </row>
    <row r="141" spans="1:6" ht="45">
      <c r="A141" s="140" t="s">
        <v>358</v>
      </c>
      <c r="B141" s="140" t="s">
        <v>243</v>
      </c>
      <c r="C141" s="140" t="s">
        <v>258</v>
      </c>
      <c r="D141" s="141" t="s">
        <v>359</v>
      </c>
      <c r="E141" s="140" t="s">
        <v>167</v>
      </c>
      <c r="F141" s="137">
        <v>89.85</v>
      </c>
    </row>
    <row r="142" spans="1:6" ht="45">
      <c r="A142" s="140" t="s">
        <v>356</v>
      </c>
      <c r="B142" s="140" t="s">
        <v>243</v>
      </c>
      <c r="C142" s="140" t="s">
        <v>258</v>
      </c>
      <c r="D142" s="141" t="s">
        <v>357</v>
      </c>
      <c r="E142" s="140" t="s">
        <v>167</v>
      </c>
      <c r="F142" s="137">
        <v>45.21</v>
      </c>
    </row>
    <row r="143" spans="1:6" ht="45">
      <c r="A143" s="140" t="s">
        <v>354</v>
      </c>
      <c r="B143" s="140" t="s">
        <v>243</v>
      </c>
      <c r="C143" s="140" t="s">
        <v>258</v>
      </c>
      <c r="D143" s="141" t="s">
        <v>355</v>
      </c>
      <c r="E143" s="140" t="s">
        <v>167</v>
      </c>
      <c r="F143" s="137">
        <v>74.45</v>
      </c>
    </row>
    <row r="144" spans="1:6" ht="22.5">
      <c r="A144" s="140" t="s">
        <v>329</v>
      </c>
      <c r="B144" s="140" t="s">
        <v>243</v>
      </c>
      <c r="C144" s="140" t="s">
        <v>258</v>
      </c>
      <c r="D144" s="141" t="s">
        <v>330</v>
      </c>
      <c r="E144" s="140" t="s">
        <v>167</v>
      </c>
      <c r="F144" s="137">
        <v>4.33</v>
      </c>
    </row>
    <row r="145" spans="1:6" ht="22.5">
      <c r="A145" s="140" t="s">
        <v>193</v>
      </c>
      <c r="B145" s="140" t="s">
        <v>243</v>
      </c>
      <c r="C145" s="140" t="s">
        <v>258</v>
      </c>
      <c r="D145" s="141" t="s">
        <v>333</v>
      </c>
      <c r="E145" s="140" t="s">
        <v>167</v>
      </c>
      <c r="F145" s="137">
        <v>5.78</v>
      </c>
    </row>
    <row r="146" spans="1:6" ht="22.5">
      <c r="A146" s="140" t="s">
        <v>331</v>
      </c>
      <c r="B146" s="140" t="s">
        <v>243</v>
      </c>
      <c r="C146" s="140" t="s">
        <v>258</v>
      </c>
      <c r="D146" s="141" t="s">
        <v>332</v>
      </c>
      <c r="E146" s="140" t="s">
        <v>167</v>
      </c>
      <c r="F146" s="137">
        <v>9.78</v>
      </c>
    </row>
    <row r="147" spans="1:6" ht="22.5">
      <c r="A147" s="140" t="s">
        <v>1166</v>
      </c>
      <c r="B147" s="140" t="s">
        <v>243</v>
      </c>
      <c r="C147" s="140" t="s">
        <v>258</v>
      </c>
      <c r="D147" s="141" t="s">
        <v>1167</v>
      </c>
      <c r="E147" s="140" t="s">
        <v>168</v>
      </c>
      <c r="F147" s="137">
        <v>27.34</v>
      </c>
    </row>
    <row r="148" spans="1:6" ht="22.5">
      <c r="A148" s="140" t="s">
        <v>342</v>
      </c>
      <c r="B148" s="140" t="s">
        <v>243</v>
      </c>
      <c r="C148" s="140" t="s">
        <v>258</v>
      </c>
      <c r="D148" s="141" t="s">
        <v>343</v>
      </c>
      <c r="E148" s="140" t="s">
        <v>168</v>
      </c>
      <c r="F148" s="137">
        <v>15.1</v>
      </c>
    </row>
    <row r="149" spans="1:6" ht="22.5">
      <c r="A149" s="140" t="s">
        <v>340</v>
      </c>
      <c r="B149" s="140" t="s">
        <v>243</v>
      </c>
      <c r="C149" s="140" t="s">
        <v>258</v>
      </c>
      <c r="D149" s="141" t="s">
        <v>341</v>
      </c>
      <c r="E149" s="140" t="s">
        <v>168</v>
      </c>
      <c r="F149" s="137">
        <v>28.62</v>
      </c>
    </row>
    <row r="150" spans="1:6" ht="22.5">
      <c r="A150" s="140" t="s">
        <v>1158</v>
      </c>
      <c r="B150" s="140" t="s">
        <v>243</v>
      </c>
      <c r="C150" s="140" t="s">
        <v>258</v>
      </c>
      <c r="D150" s="141" t="s">
        <v>1159</v>
      </c>
      <c r="E150" s="140" t="s">
        <v>168</v>
      </c>
      <c r="F150" s="137">
        <v>42.09</v>
      </c>
    </row>
    <row r="151" spans="1:6" ht="22.5">
      <c r="A151" s="140" t="s">
        <v>1164</v>
      </c>
      <c r="B151" s="140" t="s">
        <v>243</v>
      </c>
      <c r="C151" s="140" t="s">
        <v>258</v>
      </c>
      <c r="D151" s="141" t="s">
        <v>1165</v>
      </c>
      <c r="E151" s="140" t="s">
        <v>168</v>
      </c>
      <c r="F151" s="137">
        <v>45.06</v>
      </c>
    </row>
    <row r="152" spans="1:6" ht="22.5">
      <c r="A152" s="140" t="s">
        <v>1162</v>
      </c>
      <c r="B152" s="140" t="s">
        <v>243</v>
      </c>
      <c r="C152" s="140" t="s">
        <v>258</v>
      </c>
      <c r="D152" s="141" t="s">
        <v>1163</v>
      </c>
      <c r="E152" s="140" t="s">
        <v>168</v>
      </c>
      <c r="F152" s="137">
        <v>33.64</v>
      </c>
    </row>
    <row r="153" spans="1:6" ht="22.5">
      <c r="A153" s="140" t="s">
        <v>1168</v>
      </c>
      <c r="B153" s="140" t="s">
        <v>243</v>
      </c>
      <c r="C153" s="140" t="s">
        <v>258</v>
      </c>
      <c r="D153" s="141" t="s">
        <v>1169</v>
      </c>
      <c r="E153" s="140" t="s">
        <v>168</v>
      </c>
      <c r="F153" s="137">
        <v>55.39</v>
      </c>
    </row>
    <row r="154" spans="1:6" ht="22.5">
      <c r="A154" s="140" t="s">
        <v>338</v>
      </c>
      <c r="B154" s="140" t="s">
        <v>243</v>
      </c>
      <c r="C154" s="140" t="s">
        <v>258</v>
      </c>
      <c r="D154" s="141" t="s">
        <v>339</v>
      </c>
      <c r="E154" s="140" t="s">
        <v>168</v>
      </c>
      <c r="F154" s="137">
        <v>50.37</v>
      </c>
    </row>
    <row r="155" spans="1:6" ht="22.5">
      <c r="A155" s="140" t="s">
        <v>323</v>
      </c>
      <c r="B155" s="140" t="s">
        <v>243</v>
      </c>
      <c r="C155" s="140" t="s">
        <v>258</v>
      </c>
      <c r="D155" s="141" t="s">
        <v>324</v>
      </c>
      <c r="E155" s="140" t="s">
        <v>167</v>
      </c>
      <c r="F155" s="137">
        <v>12.36</v>
      </c>
    </row>
    <row r="156" spans="1:6" ht="22.5">
      <c r="A156" s="140" t="s">
        <v>280</v>
      </c>
      <c r="B156" s="140" t="s">
        <v>243</v>
      </c>
      <c r="C156" s="140" t="s">
        <v>258</v>
      </c>
      <c r="D156" s="141" t="s">
        <v>281</v>
      </c>
      <c r="E156" s="140" t="s">
        <v>167</v>
      </c>
      <c r="F156" s="137">
        <v>25.51</v>
      </c>
    </row>
    <row r="157" spans="1:6" ht="22.5">
      <c r="A157" s="140" t="s">
        <v>195</v>
      </c>
      <c r="B157" s="140" t="s">
        <v>243</v>
      </c>
      <c r="C157" s="140" t="s">
        <v>258</v>
      </c>
      <c r="D157" s="141" t="s">
        <v>378</v>
      </c>
      <c r="E157" s="140" t="s">
        <v>171</v>
      </c>
      <c r="F157" s="137">
        <v>73.77</v>
      </c>
    </row>
    <row r="158" spans="1:6" ht="12.75">
      <c r="A158" s="140" t="s">
        <v>379</v>
      </c>
      <c r="B158" s="140" t="s">
        <v>243</v>
      </c>
      <c r="C158" s="140" t="s">
        <v>258</v>
      </c>
      <c r="D158" s="141" t="s">
        <v>380</v>
      </c>
      <c r="E158" s="140" t="s">
        <v>171</v>
      </c>
      <c r="F158" s="137">
        <v>27.24</v>
      </c>
    </row>
    <row r="159" spans="1:6" ht="12.75">
      <c r="A159" s="140" t="s">
        <v>182</v>
      </c>
      <c r="B159" s="140" t="s">
        <v>243</v>
      </c>
      <c r="C159" s="140" t="s">
        <v>258</v>
      </c>
      <c r="D159" s="141" t="s">
        <v>396</v>
      </c>
      <c r="E159" s="140" t="s">
        <v>253</v>
      </c>
      <c r="F159" s="137">
        <v>3606.88</v>
      </c>
    </row>
    <row r="160" spans="1:6" ht="45">
      <c r="A160" s="140" t="s">
        <v>348</v>
      </c>
      <c r="B160" s="140" t="s">
        <v>243</v>
      </c>
      <c r="C160" s="140" t="s">
        <v>258</v>
      </c>
      <c r="D160" s="141" t="s">
        <v>349</v>
      </c>
      <c r="E160" s="140" t="s">
        <v>168</v>
      </c>
      <c r="F160" s="137">
        <v>141.07</v>
      </c>
    </row>
    <row r="161" spans="1:6" ht="22.5">
      <c r="A161" s="140" t="s">
        <v>286</v>
      </c>
      <c r="B161" s="140" t="s">
        <v>243</v>
      </c>
      <c r="C161" s="140" t="s">
        <v>258</v>
      </c>
      <c r="D161" s="141" t="s">
        <v>287</v>
      </c>
      <c r="E161" s="140" t="s">
        <v>166</v>
      </c>
      <c r="F161" s="137">
        <v>31.5</v>
      </c>
    </row>
    <row r="162" spans="1:6" ht="22.5">
      <c r="A162" s="140" t="s">
        <v>325</v>
      </c>
      <c r="B162" s="140" t="s">
        <v>243</v>
      </c>
      <c r="C162" s="140" t="s">
        <v>258</v>
      </c>
      <c r="D162" s="141" t="s">
        <v>326</v>
      </c>
      <c r="E162" s="140" t="s">
        <v>167</v>
      </c>
      <c r="F162" s="137">
        <v>11.88</v>
      </c>
    </row>
    <row r="163" spans="1:6" ht="22.5">
      <c r="A163" s="140" t="s">
        <v>1156</v>
      </c>
      <c r="B163" s="140" t="s">
        <v>243</v>
      </c>
      <c r="C163" s="140" t="s">
        <v>258</v>
      </c>
      <c r="D163" s="141" t="s">
        <v>1157</v>
      </c>
      <c r="E163" s="140" t="s">
        <v>168</v>
      </c>
      <c r="F163" s="137">
        <v>31.81</v>
      </c>
    </row>
    <row r="164" spans="1:6" ht="22.5">
      <c r="A164" s="140" t="s">
        <v>327</v>
      </c>
      <c r="B164" s="140" t="s">
        <v>243</v>
      </c>
      <c r="C164" s="140" t="s">
        <v>258</v>
      </c>
      <c r="D164" s="141" t="s">
        <v>328</v>
      </c>
      <c r="E164" s="140" t="s">
        <v>168</v>
      </c>
      <c r="F164" s="137">
        <v>35.97</v>
      </c>
    </row>
    <row r="165" spans="1:6" ht="22.5">
      <c r="A165" s="140" t="s">
        <v>334</v>
      </c>
      <c r="B165" s="140" t="s">
        <v>243</v>
      </c>
      <c r="C165" s="140" t="s">
        <v>258</v>
      </c>
      <c r="D165" s="141" t="s">
        <v>335</v>
      </c>
      <c r="E165" s="140" t="s">
        <v>168</v>
      </c>
      <c r="F165" s="137">
        <v>20.27</v>
      </c>
    </row>
    <row r="166" spans="1:6" ht="22.5">
      <c r="A166" s="140" t="s">
        <v>336</v>
      </c>
      <c r="B166" s="140" t="s">
        <v>243</v>
      </c>
      <c r="C166" s="140" t="s">
        <v>258</v>
      </c>
      <c r="D166" s="141" t="s">
        <v>337</v>
      </c>
      <c r="E166" s="140" t="s">
        <v>168</v>
      </c>
      <c r="F166" s="137">
        <v>23.77</v>
      </c>
    </row>
    <row r="167" spans="1:6" ht="22.5">
      <c r="A167" s="140" t="s">
        <v>1195</v>
      </c>
      <c r="B167" s="140" t="s">
        <v>243</v>
      </c>
      <c r="C167" s="140" t="s">
        <v>258</v>
      </c>
      <c r="D167" s="141" t="s">
        <v>1196</v>
      </c>
      <c r="E167" s="140" t="s">
        <v>171</v>
      </c>
      <c r="F167" s="137">
        <v>3511.29</v>
      </c>
    </row>
    <row r="168" spans="1:6" ht="22.5">
      <c r="A168" s="140" t="s">
        <v>295</v>
      </c>
      <c r="B168" s="140" t="s">
        <v>243</v>
      </c>
      <c r="C168" s="140" t="s">
        <v>258</v>
      </c>
      <c r="D168" s="141" t="s">
        <v>296</v>
      </c>
      <c r="E168" s="140" t="s">
        <v>166</v>
      </c>
      <c r="F168" s="137">
        <v>67.91</v>
      </c>
    </row>
    <row r="169" spans="1:6" ht="12.75">
      <c r="A169" s="140" t="s">
        <v>1071</v>
      </c>
      <c r="B169" s="140" t="s">
        <v>243</v>
      </c>
      <c r="C169" s="140" t="s">
        <v>258</v>
      </c>
      <c r="D169" s="141" t="s">
        <v>1072</v>
      </c>
      <c r="E169" s="140" t="s">
        <v>171</v>
      </c>
      <c r="F169" s="137">
        <v>630.39</v>
      </c>
    </row>
    <row r="170" spans="1:6" ht="12.75">
      <c r="A170" s="140" t="s">
        <v>162</v>
      </c>
      <c r="B170" s="140" t="s">
        <v>243</v>
      </c>
      <c r="C170" s="140" t="s">
        <v>258</v>
      </c>
      <c r="D170" s="141" t="s">
        <v>259</v>
      </c>
      <c r="E170" s="140" t="s">
        <v>167</v>
      </c>
      <c r="F170" s="137">
        <v>2.67</v>
      </c>
    </row>
    <row r="171" spans="1:6" s="136" customFormat="1" ht="22.5">
      <c r="A171" s="140" t="s">
        <v>220</v>
      </c>
      <c r="B171" s="140" t="s">
        <v>243</v>
      </c>
      <c r="C171" s="140" t="s">
        <v>258</v>
      </c>
      <c r="D171" s="141" t="s">
        <v>1079</v>
      </c>
      <c r="E171" s="140" t="s">
        <v>167</v>
      </c>
      <c r="F171" s="137">
        <v>0.4</v>
      </c>
    </row>
    <row r="172" spans="1:6" ht="22.5">
      <c r="A172" s="140" t="s">
        <v>1080</v>
      </c>
      <c r="B172" s="140" t="s">
        <v>243</v>
      </c>
      <c r="C172" s="140" t="s">
        <v>258</v>
      </c>
      <c r="D172" s="141" t="s">
        <v>1081</v>
      </c>
      <c r="E172" s="140" t="s">
        <v>245</v>
      </c>
      <c r="F172" s="137">
        <v>59.56</v>
      </c>
    </row>
    <row r="173" spans="1:6" ht="22.5">
      <c r="A173" s="140" t="s">
        <v>173</v>
      </c>
      <c r="B173" s="140" t="s">
        <v>243</v>
      </c>
      <c r="C173" s="140" t="s">
        <v>258</v>
      </c>
      <c r="D173" s="141" t="s">
        <v>264</v>
      </c>
      <c r="E173" s="140" t="s">
        <v>171</v>
      </c>
      <c r="F173" s="137">
        <v>48.99</v>
      </c>
    </row>
    <row r="174" spans="1:6" ht="22.5">
      <c r="A174" s="140" t="s">
        <v>261</v>
      </c>
      <c r="B174" s="140" t="s">
        <v>243</v>
      </c>
      <c r="C174" s="140" t="s">
        <v>258</v>
      </c>
      <c r="D174" s="141" t="s">
        <v>262</v>
      </c>
      <c r="E174" s="140" t="s">
        <v>167</v>
      </c>
      <c r="F174" s="137">
        <v>2.26</v>
      </c>
    </row>
    <row r="175" spans="1:6" ht="22.5">
      <c r="A175" s="140" t="s">
        <v>174</v>
      </c>
      <c r="B175" s="140" t="s">
        <v>243</v>
      </c>
      <c r="C175" s="140" t="s">
        <v>258</v>
      </c>
      <c r="D175" s="141" t="s">
        <v>263</v>
      </c>
      <c r="E175" s="140" t="s">
        <v>166</v>
      </c>
      <c r="F175" s="137">
        <v>10.73</v>
      </c>
    </row>
    <row r="176" spans="1:6" ht="22.5">
      <c r="A176" s="140" t="s">
        <v>276</v>
      </c>
      <c r="B176" s="140" t="s">
        <v>243</v>
      </c>
      <c r="C176" s="140" t="s">
        <v>258</v>
      </c>
      <c r="D176" s="141" t="s">
        <v>277</v>
      </c>
      <c r="E176" s="140" t="s">
        <v>166</v>
      </c>
      <c r="F176" s="137">
        <v>2.26</v>
      </c>
    </row>
    <row r="177" spans="1:6" ht="22.5">
      <c r="A177" s="140" t="s">
        <v>270</v>
      </c>
      <c r="B177" s="140" t="s">
        <v>243</v>
      </c>
      <c r="C177" s="140" t="s">
        <v>258</v>
      </c>
      <c r="D177" s="141" t="s">
        <v>271</v>
      </c>
      <c r="E177" s="140" t="s">
        <v>166</v>
      </c>
      <c r="F177" s="137">
        <v>4.38</v>
      </c>
    </row>
    <row r="178" spans="1:6" s="136" customFormat="1" ht="22.5">
      <c r="A178" s="140" t="s">
        <v>268</v>
      </c>
      <c r="B178" s="140" t="s">
        <v>243</v>
      </c>
      <c r="C178" s="140" t="s">
        <v>258</v>
      </c>
      <c r="D178" s="141" t="s">
        <v>269</v>
      </c>
      <c r="E178" s="140" t="s">
        <v>166</v>
      </c>
      <c r="F178" s="137">
        <v>8.1</v>
      </c>
    </row>
    <row r="179" spans="1:6" ht="22.5">
      <c r="A179" s="140" t="s">
        <v>272</v>
      </c>
      <c r="B179" s="140" t="s">
        <v>243</v>
      </c>
      <c r="C179" s="140" t="s">
        <v>258</v>
      </c>
      <c r="D179" s="141" t="s">
        <v>273</v>
      </c>
      <c r="E179" s="140" t="s">
        <v>168</v>
      </c>
      <c r="F179" s="137">
        <v>10.72</v>
      </c>
    </row>
    <row r="180" spans="1:6" ht="22.5">
      <c r="A180" s="140" t="s">
        <v>178</v>
      </c>
      <c r="B180" s="140" t="s">
        <v>243</v>
      </c>
      <c r="C180" s="140" t="s">
        <v>258</v>
      </c>
      <c r="D180" s="141" t="s">
        <v>267</v>
      </c>
      <c r="E180" s="140" t="s">
        <v>168</v>
      </c>
      <c r="F180" s="137">
        <v>1.12</v>
      </c>
    </row>
    <row r="181" spans="1:6" ht="22.5">
      <c r="A181" s="140" t="s">
        <v>274</v>
      </c>
      <c r="B181" s="140" t="s">
        <v>243</v>
      </c>
      <c r="C181" s="140" t="s">
        <v>258</v>
      </c>
      <c r="D181" s="141" t="s">
        <v>275</v>
      </c>
      <c r="E181" s="140" t="s">
        <v>168</v>
      </c>
      <c r="F181" s="137">
        <v>7.81</v>
      </c>
    </row>
    <row r="182" spans="1:6" ht="33.75">
      <c r="A182" s="140" t="s">
        <v>217</v>
      </c>
      <c r="B182" s="140" t="s">
        <v>243</v>
      </c>
      <c r="C182" s="140" t="s">
        <v>258</v>
      </c>
      <c r="D182" s="141" t="s">
        <v>1221</v>
      </c>
      <c r="E182" s="140" t="s">
        <v>1222</v>
      </c>
      <c r="F182" s="137">
        <v>1.01</v>
      </c>
    </row>
    <row r="183" spans="1:6" ht="22.5">
      <c r="A183" s="140" t="s">
        <v>364</v>
      </c>
      <c r="B183" s="140" t="s">
        <v>243</v>
      </c>
      <c r="C183" s="140" t="s">
        <v>258</v>
      </c>
      <c r="D183" s="141" t="s">
        <v>365</v>
      </c>
      <c r="E183" s="140" t="s">
        <v>168</v>
      </c>
      <c r="F183" s="137">
        <v>393.9</v>
      </c>
    </row>
    <row r="184" spans="1:6" ht="22.5">
      <c r="A184" s="140" t="s">
        <v>307</v>
      </c>
      <c r="B184" s="140" t="s">
        <v>243</v>
      </c>
      <c r="C184" s="140" t="s">
        <v>258</v>
      </c>
      <c r="D184" s="141" t="s">
        <v>308</v>
      </c>
      <c r="E184" s="140" t="s">
        <v>166</v>
      </c>
      <c r="F184" s="137">
        <v>26.94</v>
      </c>
    </row>
    <row r="185" spans="1:6" ht="12.75">
      <c r="A185" s="140" t="s">
        <v>309</v>
      </c>
      <c r="B185" s="140" t="s">
        <v>243</v>
      </c>
      <c r="C185" s="140" t="s">
        <v>258</v>
      </c>
      <c r="D185" s="141" t="s">
        <v>310</v>
      </c>
      <c r="E185" s="140" t="s">
        <v>167</v>
      </c>
      <c r="F185" s="137">
        <v>86.67</v>
      </c>
    </row>
    <row r="186" spans="1:6" s="136" customFormat="1" ht="12.75">
      <c r="A186" s="140" t="s">
        <v>191</v>
      </c>
      <c r="B186" s="140" t="s">
        <v>243</v>
      </c>
      <c r="C186" s="140" t="s">
        <v>258</v>
      </c>
      <c r="D186" s="141" t="s">
        <v>385</v>
      </c>
      <c r="E186" s="140" t="s">
        <v>166</v>
      </c>
      <c r="F186" s="137">
        <v>1.8</v>
      </c>
    </row>
    <row r="187" spans="1:6" ht="22.5">
      <c r="A187" s="140" t="s">
        <v>390</v>
      </c>
      <c r="B187" s="140" t="s">
        <v>243</v>
      </c>
      <c r="C187" s="140" t="s">
        <v>258</v>
      </c>
      <c r="D187" s="141" t="s">
        <v>391</v>
      </c>
      <c r="E187" s="140" t="s">
        <v>166</v>
      </c>
      <c r="F187" s="137">
        <v>0.74</v>
      </c>
    </row>
    <row r="188" spans="1:6" ht="12.75">
      <c r="A188" s="140" t="s">
        <v>388</v>
      </c>
      <c r="B188" s="140" t="s">
        <v>243</v>
      </c>
      <c r="C188" s="140" t="s">
        <v>258</v>
      </c>
      <c r="D188" s="141" t="s">
        <v>389</v>
      </c>
      <c r="E188" s="140" t="s">
        <v>166</v>
      </c>
      <c r="F188" s="137">
        <v>3.07</v>
      </c>
    </row>
    <row r="189" spans="1:6" ht="22.5">
      <c r="A189" s="140" t="s">
        <v>386</v>
      </c>
      <c r="B189" s="140" t="s">
        <v>243</v>
      </c>
      <c r="C189" s="140" t="s">
        <v>258</v>
      </c>
      <c r="D189" s="141" t="s">
        <v>387</v>
      </c>
      <c r="E189" s="140" t="s">
        <v>168</v>
      </c>
      <c r="F189" s="137">
        <v>4.47</v>
      </c>
    </row>
    <row r="190" spans="1:6" ht="22.5">
      <c r="A190" s="140" t="s">
        <v>394</v>
      </c>
      <c r="B190" s="140" t="s">
        <v>243</v>
      </c>
      <c r="C190" s="140" t="s">
        <v>258</v>
      </c>
      <c r="D190" s="141" t="s">
        <v>395</v>
      </c>
      <c r="E190" s="140" t="s">
        <v>168</v>
      </c>
      <c r="F190" s="137">
        <v>4.47</v>
      </c>
    </row>
    <row r="191" spans="1:6" ht="22.5">
      <c r="A191" s="140" t="s">
        <v>392</v>
      </c>
      <c r="B191" s="140" t="s">
        <v>243</v>
      </c>
      <c r="C191" s="140" t="s">
        <v>258</v>
      </c>
      <c r="D191" s="141" t="s">
        <v>393</v>
      </c>
      <c r="E191" s="140" t="s">
        <v>166</v>
      </c>
      <c r="F191" s="137">
        <v>2.97</v>
      </c>
    </row>
    <row r="192" spans="1:6" ht="22.5">
      <c r="A192" s="140" t="s">
        <v>382</v>
      </c>
      <c r="B192" s="140" t="s">
        <v>243</v>
      </c>
      <c r="C192" s="140" t="s">
        <v>258</v>
      </c>
      <c r="D192" s="141" t="s">
        <v>383</v>
      </c>
      <c r="E192" s="140" t="s">
        <v>384</v>
      </c>
      <c r="F192" s="137">
        <v>1.14</v>
      </c>
    </row>
    <row r="193" spans="1:6" ht="12.75">
      <c r="A193" s="140" t="s">
        <v>1154</v>
      </c>
      <c r="B193" s="140" t="s">
        <v>243</v>
      </c>
      <c r="C193" s="140" t="s">
        <v>258</v>
      </c>
      <c r="D193" s="141" t="s">
        <v>1155</v>
      </c>
      <c r="E193" s="140" t="s">
        <v>152</v>
      </c>
      <c r="F193" s="137">
        <v>22.43</v>
      </c>
    </row>
    <row r="194" spans="1:6" ht="33.75">
      <c r="A194" s="140" t="s">
        <v>1058</v>
      </c>
      <c r="B194" s="140" t="s">
        <v>243</v>
      </c>
      <c r="C194" s="140" t="s">
        <v>258</v>
      </c>
      <c r="D194" s="141" t="s">
        <v>1059</v>
      </c>
      <c r="E194" s="140" t="s">
        <v>166</v>
      </c>
      <c r="F194" s="137">
        <v>22.98</v>
      </c>
    </row>
    <row r="195" spans="1:6" ht="33.75">
      <c r="A195" s="140" t="s">
        <v>303</v>
      </c>
      <c r="B195" s="140" t="s">
        <v>243</v>
      </c>
      <c r="C195" s="140" t="s">
        <v>258</v>
      </c>
      <c r="D195" s="141" t="s">
        <v>304</v>
      </c>
      <c r="E195" s="140" t="s">
        <v>166</v>
      </c>
      <c r="F195" s="137">
        <v>22.26</v>
      </c>
    </row>
    <row r="196" spans="1:6" ht="33.75">
      <c r="A196" s="140" t="s">
        <v>1056</v>
      </c>
      <c r="B196" s="140" t="s">
        <v>243</v>
      </c>
      <c r="C196" s="140" t="s">
        <v>258</v>
      </c>
      <c r="D196" s="141" t="s">
        <v>1057</v>
      </c>
      <c r="E196" s="140" t="s">
        <v>166</v>
      </c>
      <c r="F196" s="137">
        <v>45.23</v>
      </c>
    </row>
    <row r="197" spans="1:6" ht="33.75">
      <c r="A197" s="140" t="s">
        <v>190</v>
      </c>
      <c r="B197" s="140" t="s">
        <v>243</v>
      </c>
      <c r="C197" s="140" t="s">
        <v>258</v>
      </c>
      <c r="D197" s="141" t="s">
        <v>302</v>
      </c>
      <c r="E197" s="140" t="s">
        <v>166</v>
      </c>
      <c r="F197" s="137">
        <v>45.58</v>
      </c>
    </row>
    <row r="198" spans="1:6" ht="22.5">
      <c r="A198" s="140" t="s">
        <v>319</v>
      </c>
      <c r="B198" s="140" t="s">
        <v>243</v>
      </c>
      <c r="C198" s="140" t="s">
        <v>258</v>
      </c>
      <c r="D198" s="141" t="s">
        <v>320</v>
      </c>
      <c r="E198" s="140" t="s">
        <v>168</v>
      </c>
      <c r="F198" s="137">
        <v>74.2</v>
      </c>
    </row>
    <row r="199" spans="1:6" ht="22.5">
      <c r="A199" s="140" t="s">
        <v>321</v>
      </c>
      <c r="B199" s="140" t="s">
        <v>243</v>
      </c>
      <c r="C199" s="140" t="s">
        <v>258</v>
      </c>
      <c r="D199" s="141" t="s">
        <v>322</v>
      </c>
      <c r="E199" s="140" t="s">
        <v>168</v>
      </c>
      <c r="F199" s="137">
        <v>38.73</v>
      </c>
    </row>
    <row r="200" spans="1:6" ht="22.5">
      <c r="A200" s="140" t="s">
        <v>315</v>
      </c>
      <c r="B200" s="140" t="s">
        <v>243</v>
      </c>
      <c r="C200" s="140" t="s">
        <v>258</v>
      </c>
      <c r="D200" s="141" t="s">
        <v>316</v>
      </c>
      <c r="E200" s="140" t="s">
        <v>168</v>
      </c>
      <c r="F200" s="137">
        <v>566.87</v>
      </c>
    </row>
    <row r="201" spans="1:6" ht="22.5">
      <c r="A201" s="140" t="s">
        <v>313</v>
      </c>
      <c r="B201" s="140" t="s">
        <v>243</v>
      </c>
      <c r="C201" s="140" t="s">
        <v>258</v>
      </c>
      <c r="D201" s="141" t="s">
        <v>314</v>
      </c>
      <c r="E201" s="140" t="s">
        <v>168</v>
      </c>
      <c r="F201" s="137">
        <v>288.52</v>
      </c>
    </row>
    <row r="202" spans="1:6" ht="22.5">
      <c r="A202" s="140" t="s">
        <v>311</v>
      </c>
      <c r="B202" s="140" t="s">
        <v>243</v>
      </c>
      <c r="C202" s="140" t="s">
        <v>258</v>
      </c>
      <c r="D202" s="141" t="s">
        <v>312</v>
      </c>
      <c r="E202" s="140" t="s">
        <v>168</v>
      </c>
      <c r="F202" s="137">
        <v>301.28</v>
      </c>
    </row>
    <row r="203" spans="1:6" ht="22.5">
      <c r="A203" s="140" t="s">
        <v>317</v>
      </c>
      <c r="B203" s="140" t="s">
        <v>243</v>
      </c>
      <c r="C203" s="140" t="s">
        <v>258</v>
      </c>
      <c r="D203" s="141" t="s">
        <v>318</v>
      </c>
      <c r="E203" s="140" t="s">
        <v>168</v>
      </c>
      <c r="F203" s="137">
        <v>901.16</v>
      </c>
    </row>
    <row r="204" spans="1:6" ht="33.75">
      <c r="A204" s="140" t="s">
        <v>1223</v>
      </c>
      <c r="B204" s="140" t="s">
        <v>243</v>
      </c>
      <c r="C204" s="140" t="s">
        <v>258</v>
      </c>
      <c r="D204" s="141" t="s">
        <v>1224</v>
      </c>
      <c r="E204" s="140" t="s">
        <v>171</v>
      </c>
      <c r="F204" s="137">
        <v>8.08</v>
      </c>
    </row>
    <row r="205" spans="1:6" ht="33.75">
      <c r="A205" s="140" t="s">
        <v>184</v>
      </c>
      <c r="B205" s="140" t="s">
        <v>243</v>
      </c>
      <c r="C205" s="140" t="s">
        <v>258</v>
      </c>
      <c r="D205" s="141" t="s">
        <v>398</v>
      </c>
      <c r="E205" s="140" t="s">
        <v>166</v>
      </c>
      <c r="F205" s="137">
        <v>131.45</v>
      </c>
    </row>
    <row r="206" spans="1:6" ht="22.5">
      <c r="A206" s="140" t="s">
        <v>284</v>
      </c>
      <c r="B206" s="140" t="s">
        <v>243</v>
      </c>
      <c r="C206" s="140" t="s">
        <v>258</v>
      </c>
      <c r="D206" s="141" t="s">
        <v>285</v>
      </c>
      <c r="E206" s="140" t="s">
        <v>166</v>
      </c>
      <c r="F206" s="137">
        <v>323.74</v>
      </c>
    </row>
    <row r="207" spans="1:6" ht="12.75">
      <c r="A207" s="140" t="s">
        <v>293</v>
      </c>
      <c r="B207" s="140" t="s">
        <v>243</v>
      </c>
      <c r="C207" s="140" t="s">
        <v>258</v>
      </c>
      <c r="D207" s="141" t="s">
        <v>294</v>
      </c>
      <c r="E207" s="140" t="s">
        <v>166</v>
      </c>
      <c r="F207" s="137">
        <v>7.45</v>
      </c>
    </row>
    <row r="208" spans="1:6" ht="33.75">
      <c r="A208" s="140" t="s">
        <v>164</v>
      </c>
      <c r="B208" s="140" t="s">
        <v>243</v>
      </c>
      <c r="C208" s="140" t="s">
        <v>258</v>
      </c>
      <c r="D208" s="141" t="s">
        <v>260</v>
      </c>
      <c r="E208" s="140" t="s">
        <v>253</v>
      </c>
      <c r="F208" s="137">
        <v>722.65</v>
      </c>
    </row>
    <row r="209" spans="1:6" ht="12.75">
      <c r="A209" s="140" t="s">
        <v>305</v>
      </c>
      <c r="B209" s="140" t="s">
        <v>243</v>
      </c>
      <c r="C209" s="140" t="s">
        <v>258</v>
      </c>
      <c r="D209" s="141" t="s">
        <v>306</v>
      </c>
      <c r="E209" s="140" t="s">
        <v>166</v>
      </c>
      <c r="F209" s="137">
        <v>16.53</v>
      </c>
    </row>
    <row r="210" spans="1:6" ht="12.75">
      <c r="A210" s="140" t="s">
        <v>399</v>
      </c>
      <c r="B210" s="140" t="s">
        <v>160</v>
      </c>
      <c r="C210" s="140" t="s">
        <v>244</v>
      </c>
      <c r="D210" s="141" t="s">
        <v>400</v>
      </c>
      <c r="E210" s="140" t="s">
        <v>161</v>
      </c>
      <c r="F210" s="137">
        <v>126.45</v>
      </c>
    </row>
    <row r="211" spans="1:6" ht="22.5">
      <c r="A211" s="140" t="s">
        <v>401</v>
      </c>
      <c r="B211" s="140" t="s">
        <v>160</v>
      </c>
      <c r="C211" s="140" t="s">
        <v>244</v>
      </c>
      <c r="D211" s="141" t="s">
        <v>402</v>
      </c>
      <c r="E211" s="140" t="s">
        <v>161</v>
      </c>
      <c r="F211" s="137">
        <v>12.84</v>
      </c>
    </row>
    <row r="212" spans="1:6" ht="22.5">
      <c r="A212" s="140" t="s">
        <v>403</v>
      </c>
      <c r="B212" s="140" t="s">
        <v>160</v>
      </c>
      <c r="C212" s="140" t="s">
        <v>244</v>
      </c>
      <c r="D212" s="141" t="s">
        <v>404</v>
      </c>
      <c r="E212" s="140" t="s">
        <v>161</v>
      </c>
      <c r="F212" s="137">
        <v>8.04</v>
      </c>
    </row>
    <row r="213" spans="1:6" ht="22.5">
      <c r="A213" s="140" t="s">
        <v>405</v>
      </c>
      <c r="B213" s="140" t="s">
        <v>160</v>
      </c>
      <c r="C213" s="140" t="s">
        <v>244</v>
      </c>
      <c r="D213" s="141" t="s">
        <v>406</v>
      </c>
      <c r="E213" s="140" t="s">
        <v>161</v>
      </c>
      <c r="F213" s="137">
        <v>58.16</v>
      </c>
    </row>
    <row r="214" spans="1:6" ht="22.5">
      <c r="A214" s="140" t="s">
        <v>407</v>
      </c>
      <c r="B214" s="140" t="s">
        <v>160</v>
      </c>
      <c r="C214" s="140" t="s">
        <v>244</v>
      </c>
      <c r="D214" s="141" t="s">
        <v>408</v>
      </c>
      <c r="E214" s="140" t="s">
        <v>161</v>
      </c>
      <c r="F214" s="137">
        <v>802.39</v>
      </c>
    </row>
    <row r="215" spans="1:6" ht="22.5">
      <c r="A215" s="140" t="s">
        <v>409</v>
      </c>
      <c r="B215" s="140" t="s">
        <v>160</v>
      </c>
      <c r="C215" s="140" t="s">
        <v>244</v>
      </c>
      <c r="D215" s="141" t="s">
        <v>410</v>
      </c>
      <c r="E215" s="140" t="s">
        <v>161</v>
      </c>
      <c r="F215" s="137">
        <v>423.67</v>
      </c>
    </row>
    <row r="216" spans="1:6" ht="12.75">
      <c r="A216" s="140" t="s">
        <v>411</v>
      </c>
      <c r="B216" s="140" t="s">
        <v>160</v>
      </c>
      <c r="C216" s="140" t="s">
        <v>244</v>
      </c>
      <c r="D216" s="141" t="s">
        <v>412</v>
      </c>
      <c r="E216" s="140" t="s">
        <v>161</v>
      </c>
      <c r="F216" s="137">
        <v>160.39</v>
      </c>
    </row>
    <row r="217" spans="1:6" ht="12.75">
      <c r="A217" s="140" t="s">
        <v>413</v>
      </c>
      <c r="B217" s="140" t="s">
        <v>160</v>
      </c>
      <c r="C217" s="140" t="s">
        <v>244</v>
      </c>
      <c r="D217" s="141" t="s">
        <v>414</v>
      </c>
      <c r="E217" s="140" t="s">
        <v>161</v>
      </c>
      <c r="F217" s="137">
        <v>59.81</v>
      </c>
    </row>
    <row r="218" spans="1:6" ht="12.75">
      <c r="A218" s="140" t="s">
        <v>415</v>
      </c>
      <c r="B218" s="140" t="s">
        <v>160</v>
      </c>
      <c r="C218" s="140" t="s">
        <v>244</v>
      </c>
      <c r="D218" s="141" t="s">
        <v>416</v>
      </c>
      <c r="E218" s="140" t="s">
        <v>161</v>
      </c>
      <c r="F218" s="137">
        <v>441.56</v>
      </c>
    </row>
    <row r="219" spans="1:6" ht="22.5">
      <c r="A219" s="140" t="s">
        <v>417</v>
      </c>
      <c r="B219" s="140" t="s">
        <v>160</v>
      </c>
      <c r="C219" s="140" t="s">
        <v>244</v>
      </c>
      <c r="D219" s="141" t="s">
        <v>418</v>
      </c>
      <c r="E219" s="140" t="s">
        <v>161</v>
      </c>
      <c r="F219" s="137">
        <v>840.19</v>
      </c>
    </row>
    <row r="220" spans="1:6" ht="22.5">
      <c r="A220" s="140" t="s">
        <v>419</v>
      </c>
      <c r="B220" s="140" t="s">
        <v>160</v>
      </c>
      <c r="C220" s="140" t="s">
        <v>244</v>
      </c>
      <c r="D220" s="141" t="s">
        <v>420</v>
      </c>
      <c r="E220" s="140" t="s">
        <v>161</v>
      </c>
      <c r="F220" s="137">
        <v>355.92</v>
      </c>
    </row>
    <row r="221" spans="1:6" ht="22.5">
      <c r="A221" s="140" t="s">
        <v>421</v>
      </c>
      <c r="B221" s="140" t="s">
        <v>160</v>
      </c>
      <c r="C221" s="140" t="s">
        <v>244</v>
      </c>
      <c r="D221" s="141" t="s">
        <v>422</v>
      </c>
      <c r="E221" s="140" t="s">
        <v>161</v>
      </c>
      <c r="F221" s="137">
        <v>297.57</v>
      </c>
    </row>
    <row r="222" spans="1:6" ht="12.75">
      <c r="A222" s="140" t="s">
        <v>423</v>
      </c>
      <c r="B222" s="140" t="s">
        <v>160</v>
      </c>
      <c r="C222" s="140" t="s">
        <v>244</v>
      </c>
      <c r="D222" s="141" t="s">
        <v>424</v>
      </c>
      <c r="E222" s="140" t="s">
        <v>161</v>
      </c>
      <c r="F222" s="137">
        <v>58.49</v>
      </c>
    </row>
    <row r="223" spans="1:6" ht="22.5">
      <c r="A223" s="140" t="s">
        <v>425</v>
      </c>
      <c r="B223" s="140" t="s">
        <v>160</v>
      </c>
      <c r="C223" s="140" t="s">
        <v>244</v>
      </c>
      <c r="D223" s="141" t="s">
        <v>426</v>
      </c>
      <c r="E223" s="140" t="s">
        <v>161</v>
      </c>
      <c r="F223" s="137">
        <v>657.9</v>
      </c>
    </row>
    <row r="224" spans="1:6" ht="12.75">
      <c r="A224" s="140" t="s">
        <v>427</v>
      </c>
      <c r="B224" s="140" t="s">
        <v>160</v>
      </c>
      <c r="C224" s="140" t="s">
        <v>244</v>
      </c>
      <c r="D224" s="141" t="s">
        <v>428</v>
      </c>
      <c r="E224" s="140" t="s">
        <v>161</v>
      </c>
      <c r="F224" s="137">
        <v>100.23</v>
      </c>
    </row>
    <row r="225" spans="1:6" ht="12.75">
      <c r="A225" s="140" t="s">
        <v>429</v>
      </c>
      <c r="B225" s="140" t="s">
        <v>160</v>
      </c>
      <c r="C225" s="140" t="s">
        <v>244</v>
      </c>
      <c r="D225" s="141" t="s">
        <v>430</v>
      </c>
      <c r="E225" s="140" t="s">
        <v>161</v>
      </c>
      <c r="F225" s="137">
        <v>54.87</v>
      </c>
    </row>
    <row r="226" spans="1:6" ht="22.5">
      <c r="A226" s="140" t="s">
        <v>431</v>
      </c>
      <c r="B226" s="140" t="s">
        <v>160</v>
      </c>
      <c r="C226" s="140" t="s">
        <v>244</v>
      </c>
      <c r="D226" s="141" t="s">
        <v>432</v>
      </c>
      <c r="E226" s="140" t="s">
        <v>161</v>
      </c>
      <c r="F226" s="137">
        <v>131.5</v>
      </c>
    </row>
    <row r="227" spans="1:6" ht="33.75">
      <c r="A227" s="140" t="s">
        <v>233</v>
      </c>
      <c r="B227" s="140" t="s">
        <v>160</v>
      </c>
      <c r="C227" s="140" t="s">
        <v>244</v>
      </c>
      <c r="D227" s="141" t="s">
        <v>433</v>
      </c>
      <c r="E227" s="140" t="s">
        <v>257</v>
      </c>
      <c r="F227" s="137">
        <v>86.79</v>
      </c>
    </row>
    <row r="228" spans="1:6" ht="33.75">
      <c r="A228" s="140" t="s">
        <v>434</v>
      </c>
      <c r="B228" s="140" t="s">
        <v>160</v>
      </c>
      <c r="C228" s="140" t="s">
        <v>244</v>
      </c>
      <c r="D228" s="141" t="s">
        <v>435</v>
      </c>
      <c r="E228" s="140" t="s">
        <v>166</v>
      </c>
      <c r="F228" s="137">
        <v>999.25</v>
      </c>
    </row>
    <row r="229" spans="1:6" ht="22.5">
      <c r="A229" s="140" t="s">
        <v>436</v>
      </c>
      <c r="B229" s="140" t="s">
        <v>160</v>
      </c>
      <c r="C229" s="140" t="s">
        <v>244</v>
      </c>
      <c r="D229" s="141" t="s">
        <v>437</v>
      </c>
      <c r="E229" s="140" t="s">
        <v>161</v>
      </c>
      <c r="F229" s="137">
        <v>553.09</v>
      </c>
    </row>
    <row r="230" spans="1:6" ht="22.5">
      <c r="A230" s="140" t="s">
        <v>438</v>
      </c>
      <c r="B230" s="140" t="s">
        <v>160</v>
      </c>
      <c r="C230" s="140" t="s">
        <v>244</v>
      </c>
      <c r="D230" s="141" t="s">
        <v>439</v>
      </c>
      <c r="E230" s="140" t="s">
        <v>166</v>
      </c>
      <c r="F230" s="137">
        <v>116.86</v>
      </c>
    </row>
    <row r="231" spans="1:6" ht="12.75">
      <c r="A231" s="140" t="s">
        <v>440</v>
      </c>
      <c r="B231" s="140" t="s">
        <v>160</v>
      </c>
      <c r="C231" s="140" t="s">
        <v>244</v>
      </c>
      <c r="D231" s="141" t="s">
        <v>441</v>
      </c>
      <c r="E231" s="140" t="s">
        <v>161</v>
      </c>
      <c r="F231" s="137">
        <v>2.63</v>
      </c>
    </row>
    <row r="232" spans="1:6" ht="33.75">
      <c r="A232" s="140" t="s">
        <v>442</v>
      </c>
      <c r="B232" s="140" t="s">
        <v>160</v>
      </c>
      <c r="C232" s="140" t="s">
        <v>244</v>
      </c>
      <c r="D232" s="141" t="s">
        <v>443</v>
      </c>
      <c r="E232" s="140" t="s">
        <v>166</v>
      </c>
      <c r="F232" s="137">
        <v>93.98</v>
      </c>
    </row>
    <row r="233" spans="1:6" ht="22.5">
      <c r="A233" s="140" t="s">
        <v>444</v>
      </c>
      <c r="B233" s="140" t="s">
        <v>160</v>
      </c>
      <c r="C233" s="140" t="s">
        <v>244</v>
      </c>
      <c r="D233" s="141" t="s">
        <v>445</v>
      </c>
      <c r="E233" s="140" t="s">
        <v>161</v>
      </c>
      <c r="F233" s="137">
        <v>83.58</v>
      </c>
    </row>
    <row r="234" spans="1:6" ht="22.5">
      <c r="A234" s="140" t="s">
        <v>446</v>
      </c>
      <c r="B234" s="140" t="s">
        <v>160</v>
      </c>
      <c r="C234" s="140" t="s">
        <v>244</v>
      </c>
      <c r="D234" s="141" t="s">
        <v>447</v>
      </c>
      <c r="E234" s="140" t="s">
        <v>161</v>
      </c>
      <c r="F234" s="137">
        <v>84.67</v>
      </c>
    </row>
    <row r="235" spans="1:6" ht="12.75">
      <c r="A235" s="140" t="s">
        <v>199</v>
      </c>
      <c r="B235" s="140" t="s">
        <v>160</v>
      </c>
      <c r="C235" s="140" t="s">
        <v>244</v>
      </c>
      <c r="D235" s="141" t="s">
        <v>448</v>
      </c>
      <c r="E235" s="140" t="s">
        <v>449</v>
      </c>
      <c r="F235" s="137">
        <v>233.94</v>
      </c>
    </row>
    <row r="236" spans="1:6" ht="12.75">
      <c r="A236" s="140" t="s">
        <v>203</v>
      </c>
      <c r="B236" s="140" t="s">
        <v>160</v>
      </c>
      <c r="C236" s="140" t="s">
        <v>244</v>
      </c>
      <c r="D236" s="141" t="s">
        <v>450</v>
      </c>
      <c r="E236" s="140" t="s">
        <v>166</v>
      </c>
      <c r="F236" s="137">
        <v>0.5</v>
      </c>
    </row>
    <row r="237" spans="1:6" ht="12.75">
      <c r="A237" s="140" t="s">
        <v>451</v>
      </c>
      <c r="B237" s="140" t="s">
        <v>160</v>
      </c>
      <c r="C237" s="140" t="s">
        <v>244</v>
      </c>
      <c r="D237" s="141" t="s">
        <v>452</v>
      </c>
      <c r="E237" s="140" t="s">
        <v>161</v>
      </c>
      <c r="F237" s="137">
        <v>72.18</v>
      </c>
    </row>
    <row r="238" spans="1:6" ht="22.5">
      <c r="A238" s="140" t="s">
        <v>453</v>
      </c>
      <c r="B238" s="140" t="s">
        <v>160</v>
      </c>
      <c r="C238" s="140" t="s">
        <v>244</v>
      </c>
      <c r="D238" s="141" t="s">
        <v>454</v>
      </c>
      <c r="E238" s="140" t="s">
        <v>161</v>
      </c>
      <c r="F238" s="137">
        <v>415.47</v>
      </c>
    </row>
    <row r="239" spans="1:6" ht="22.5">
      <c r="A239" s="140" t="s">
        <v>455</v>
      </c>
      <c r="B239" s="140" t="s">
        <v>160</v>
      </c>
      <c r="C239" s="140" t="s">
        <v>244</v>
      </c>
      <c r="D239" s="141" t="s">
        <v>456</v>
      </c>
      <c r="E239" s="140" t="s">
        <v>161</v>
      </c>
      <c r="F239" s="137">
        <v>398.54</v>
      </c>
    </row>
    <row r="240" spans="1:6" ht="12.75">
      <c r="A240" s="140" t="s">
        <v>457</v>
      </c>
      <c r="B240" s="140" t="s">
        <v>160</v>
      </c>
      <c r="C240" s="140" t="s">
        <v>244</v>
      </c>
      <c r="D240" s="141" t="s">
        <v>458</v>
      </c>
      <c r="E240" s="140" t="s">
        <v>161</v>
      </c>
      <c r="F240" s="137">
        <v>26.22</v>
      </c>
    </row>
    <row r="241" spans="1:6" ht="22.5">
      <c r="A241" s="140" t="s">
        <v>459</v>
      </c>
      <c r="B241" s="140" t="s">
        <v>160</v>
      </c>
      <c r="C241" s="140" t="s">
        <v>244</v>
      </c>
      <c r="D241" s="141" t="s">
        <v>460</v>
      </c>
      <c r="E241" s="140" t="s">
        <v>161</v>
      </c>
      <c r="F241" s="137">
        <v>10.82</v>
      </c>
    </row>
    <row r="242" spans="1:6" ht="12.75">
      <c r="A242" s="140" t="s">
        <v>461</v>
      </c>
      <c r="B242" s="140" t="s">
        <v>160</v>
      </c>
      <c r="C242" s="140" t="s">
        <v>244</v>
      </c>
      <c r="D242" s="141" t="s">
        <v>462</v>
      </c>
      <c r="E242" s="140" t="s">
        <v>161</v>
      </c>
      <c r="F242" s="137">
        <v>389.9</v>
      </c>
    </row>
    <row r="243" spans="1:6" ht="12.75">
      <c r="A243" s="140" t="s">
        <v>463</v>
      </c>
      <c r="B243" s="140" t="s">
        <v>160</v>
      </c>
      <c r="C243" s="140" t="s">
        <v>244</v>
      </c>
      <c r="D243" s="141" t="s">
        <v>464</v>
      </c>
      <c r="E243" s="140" t="s">
        <v>161</v>
      </c>
      <c r="F243" s="137">
        <v>221.83</v>
      </c>
    </row>
    <row r="244" spans="1:6" ht="78.75">
      <c r="A244" s="140" t="s">
        <v>465</v>
      </c>
      <c r="B244" s="140" t="s">
        <v>160</v>
      </c>
      <c r="C244" s="140" t="s">
        <v>244</v>
      </c>
      <c r="D244" s="141" t="s">
        <v>466</v>
      </c>
      <c r="E244" s="140" t="s">
        <v>161</v>
      </c>
      <c r="F244" s="137">
        <v>608.16</v>
      </c>
    </row>
    <row r="245" spans="1:6" ht="22.5">
      <c r="A245" s="140" t="s">
        <v>467</v>
      </c>
      <c r="B245" s="140" t="s">
        <v>160</v>
      </c>
      <c r="C245" s="140" t="s">
        <v>244</v>
      </c>
      <c r="D245" s="141" t="s">
        <v>468</v>
      </c>
      <c r="E245" s="140" t="s">
        <v>161</v>
      </c>
      <c r="F245" s="137">
        <v>9.89</v>
      </c>
    </row>
    <row r="246" spans="1:6" ht="22.5">
      <c r="A246" s="140" t="s">
        <v>469</v>
      </c>
      <c r="B246" s="140" t="s">
        <v>160</v>
      </c>
      <c r="C246" s="140" t="s">
        <v>244</v>
      </c>
      <c r="D246" s="141" t="s">
        <v>470</v>
      </c>
      <c r="E246" s="140" t="s">
        <v>161</v>
      </c>
      <c r="F246" s="137">
        <v>258.41</v>
      </c>
    </row>
    <row r="247" spans="1:6" ht="12.75">
      <c r="A247" s="140" t="s">
        <v>471</v>
      </c>
      <c r="B247" s="140" t="s">
        <v>160</v>
      </c>
      <c r="C247" s="140" t="s">
        <v>244</v>
      </c>
      <c r="D247" s="141" t="s">
        <v>472</v>
      </c>
      <c r="E247" s="140" t="s">
        <v>161</v>
      </c>
      <c r="F247" s="137">
        <v>333.05</v>
      </c>
    </row>
    <row r="248" spans="1:6" ht="12.75">
      <c r="A248" s="140" t="s">
        <v>473</v>
      </c>
      <c r="B248" s="140" t="s">
        <v>160</v>
      </c>
      <c r="C248" s="140" t="s">
        <v>244</v>
      </c>
      <c r="D248" s="141" t="s">
        <v>474</v>
      </c>
      <c r="E248" s="140" t="s">
        <v>161</v>
      </c>
      <c r="F248" s="137">
        <v>104.12</v>
      </c>
    </row>
    <row r="249" spans="1:6" ht="33.75">
      <c r="A249" s="140" t="s">
        <v>475</v>
      </c>
      <c r="B249" s="140" t="s">
        <v>160</v>
      </c>
      <c r="C249" s="140" t="s">
        <v>244</v>
      </c>
      <c r="D249" s="141" t="s">
        <v>476</v>
      </c>
      <c r="E249" s="140" t="s">
        <v>161</v>
      </c>
      <c r="F249" s="137">
        <v>426.57</v>
      </c>
    </row>
    <row r="250" spans="1:6" ht="22.5">
      <c r="A250" s="140" t="s">
        <v>477</v>
      </c>
      <c r="B250" s="140" t="s">
        <v>160</v>
      </c>
      <c r="C250" s="140" t="s">
        <v>244</v>
      </c>
      <c r="D250" s="141" t="s">
        <v>478</v>
      </c>
      <c r="E250" s="140" t="s">
        <v>161</v>
      </c>
      <c r="F250" s="137">
        <v>1123.5</v>
      </c>
    </row>
    <row r="251" spans="1:6" ht="33.75">
      <c r="A251" s="140" t="s">
        <v>479</v>
      </c>
      <c r="B251" s="140" t="s">
        <v>160</v>
      </c>
      <c r="C251" s="140" t="s">
        <v>244</v>
      </c>
      <c r="D251" s="141" t="s">
        <v>480</v>
      </c>
      <c r="E251" s="140" t="s">
        <v>161</v>
      </c>
      <c r="F251" s="137">
        <v>53.7</v>
      </c>
    </row>
    <row r="252" spans="1:6" ht="33.75">
      <c r="A252" s="140" t="s">
        <v>481</v>
      </c>
      <c r="B252" s="140" t="s">
        <v>160</v>
      </c>
      <c r="C252" s="140" t="s">
        <v>244</v>
      </c>
      <c r="D252" s="141" t="s">
        <v>482</v>
      </c>
      <c r="E252" s="140" t="s">
        <v>161</v>
      </c>
      <c r="F252" s="137">
        <v>55.93</v>
      </c>
    </row>
    <row r="253" spans="1:6" ht="33.75">
      <c r="A253" s="140" t="s">
        <v>483</v>
      </c>
      <c r="B253" s="140" t="s">
        <v>160</v>
      </c>
      <c r="C253" s="140" t="s">
        <v>244</v>
      </c>
      <c r="D253" s="141" t="s">
        <v>484</v>
      </c>
      <c r="E253" s="140" t="s">
        <v>177</v>
      </c>
      <c r="F253" s="137">
        <v>19.57</v>
      </c>
    </row>
    <row r="254" spans="1:6" ht="12.75">
      <c r="A254" s="140" t="s">
        <v>485</v>
      </c>
      <c r="B254" s="140" t="s">
        <v>160</v>
      </c>
      <c r="C254" s="140" t="s">
        <v>244</v>
      </c>
      <c r="D254" s="141" t="s">
        <v>486</v>
      </c>
      <c r="E254" s="140" t="s">
        <v>161</v>
      </c>
      <c r="F254" s="137">
        <v>127.3</v>
      </c>
    </row>
    <row r="255" spans="1:6" ht="22.5">
      <c r="A255" s="140" t="s">
        <v>487</v>
      </c>
      <c r="B255" s="140" t="s">
        <v>160</v>
      </c>
      <c r="C255" s="140" t="s">
        <v>244</v>
      </c>
      <c r="D255" s="141" t="s">
        <v>488</v>
      </c>
      <c r="E255" s="140" t="s">
        <v>161</v>
      </c>
      <c r="F255" s="137">
        <v>329.77</v>
      </c>
    </row>
    <row r="256" spans="1:6" ht="12.75">
      <c r="A256" s="140" t="s">
        <v>489</v>
      </c>
      <c r="B256" s="140" t="s">
        <v>160</v>
      </c>
      <c r="C256" s="140" t="s">
        <v>244</v>
      </c>
      <c r="D256" s="141" t="s">
        <v>490</v>
      </c>
      <c r="E256" s="140" t="s">
        <v>161</v>
      </c>
      <c r="F256" s="137">
        <v>111.05</v>
      </c>
    </row>
    <row r="257" spans="1:6" ht="22.5">
      <c r="A257" s="140" t="s">
        <v>491</v>
      </c>
      <c r="B257" s="140" t="s">
        <v>160</v>
      </c>
      <c r="C257" s="140" t="s">
        <v>244</v>
      </c>
      <c r="D257" s="141" t="s">
        <v>492</v>
      </c>
      <c r="E257" s="140" t="s">
        <v>161</v>
      </c>
      <c r="F257" s="137">
        <v>155.52</v>
      </c>
    </row>
    <row r="258" spans="1:6" ht="12.75">
      <c r="A258" s="140" t="s">
        <v>493</v>
      </c>
      <c r="B258" s="140" t="s">
        <v>160</v>
      </c>
      <c r="C258" s="140" t="s">
        <v>244</v>
      </c>
      <c r="D258" s="141" t="s">
        <v>494</v>
      </c>
      <c r="E258" s="140" t="s">
        <v>161</v>
      </c>
      <c r="F258" s="137">
        <v>27.8</v>
      </c>
    </row>
    <row r="259" spans="1:6" ht="22.5">
      <c r="A259" s="140" t="s">
        <v>495</v>
      </c>
      <c r="B259" s="140" t="s">
        <v>160</v>
      </c>
      <c r="C259" s="140" t="s">
        <v>244</v>
      </c>
      <c r="D259" s="141" t="s">
        <v>496</v>
      </c>
      <c r="E259" s="140" t="s">
        <v>161</v>
      </c>
      <c r="F259" s="137">
        <v>765</v>
      </c>
    </row>
    <row r="260" spans="1:6" ht="22.5">
      <c r="A260" s="140" t="s">
        <v>497</v>
      </c>
      <c r="B260" s="140" t="s">
        <v>160</v>
      </c>
      <c r="C260" s="140" t="s">
        <v>244</v>
      </c>
      <c r="D260" s="141" t="s">
        <v>498</v>
      </c>
      <c r="E260" s="140" t="s">
        <v>161</v>
      </c>
      <c r="F260" s="137">
        <v>795</v>
      </c>
    </row>
    <row r="261" spans="1:6" ht="12.75">
      <c r="A261" s="140" t="s">
        <v>499</v>
      </c>
      <c r="B261" s="140" t="s">
        <v>160</v>
      </c>
      <c r="C261" s="140" t="s">
        <v>244</v>
      </c>
      <c r="D261" s="141" t="s">
        <v>500</v>
      </c>
      <c r="E261" s="140" t="s">
        <v>177</v>
      </c>
      <c r="F261" s="137">
        <v>11.86</v>
      </c>
    </row>
    <row r="262" spans="1:6" ht="22.5">
      <c r="A262" s="140" t="s">
        <v>501</v>
      </c>
      <c r="B262" s="140" t="s">
        <v>160</v>
      </c>
      <c r="C262" s="140" t="s">
        <v>244</v>
      </c>
      <c r="D262" s="141" t="s">
        <v>502</v>
      </c>
      <c r="E262" s="140" t="s">
        <v>161</v>
      </c>
      <c r="F262" s="137">
        <v>405.05</v>
      </c>
    </row>
    <row r="263" spans="1:6" ht="12.75">
      <c r="A263" s="140" t="s">
        <v>503</v>
      </c>
      <c r="B263" s="140" t="s">
        <v>160</v>
      </c>
      <c r="C263" s="140" t="s">
        <v>244</v>
      </c>
      <c r="D263" s="141" t="s">
        <v>504</v>
      </c>
      <c r="E263" s="140" t="s">
        <v>161</v>
      </c>
      <c r="F263" s="137">
        <v>166.53</v>
      </c>
    </row>
    <row r="264" spans="1:6" ht="12.75">
      <c r="A264" s="140" t="s">
        <v>505</v>
      </c>
      <c r="B264" s="140" t="s">
        <v>160</v>
      </c>
      <c r="C264" s="140" t="s">
        <v>244</v>
      </c>
      <c r="D264" s="141" t="s">
        <v>506</v>
      </c>
      <c r="E264" s="140" t="s">
        <v>161</v>
      </c>
      <c r="F264" s="137">
        <v>6.71</v>
      </c>
    </row>
    <row r="265" spans="1:6" ht="12.75">
      <c r="A265" s="140" t="s">
        <v>238</v>
      </c>
      <c r="B265" s="140" t="s">
        <v>160</v>
      </c>
      <c r="C265" s="140" t="s">
        <v>244</v>
      </c>
      <c r="D265" s="141" t="s">
        <v>507</v>
      </c>
      <c r="E265" s="140" t="s">
        <v>161</v>
      </c>
      <c r="F265" s="137">
        <v>53.5</v>
      </c>
    </row>
    <row r="266" spans="1:6" ht="22.5">
      <c r="A266" s="140" t="s">
        <v>508</v>
      </c>
      <c r="B266" s="140" t="s">
        <v>160</v>
      </c>
      <c r="C266" s="140" t="s">
        <v>244</v>
      </c>
      <c r="D266" s="141" t="s">
        <v>509</v>
      </c>
      <c r="E266" s="140" t="s">
        <v>161</v>
      </c>
      <c r="F266" s="137">
        <v>2757.4</v>
      </c>
    </row>
    <row r="267" spans="1:6" ht="12.75">
      <c r="A267" s="140" t="s">
        <v>510</v>
      </c>
      <c r="B267" s="140" t="s">
        <v>160</v>
      </c>
      <c r="C267" s="140" t="s">
        <v>244</v>
      </c>
      <c r="D267" s="141" t="s">
        <v>511</v>
      </c>
      <c r="E267" s="140" t="s">
        <v>161</v>
      </c>
      <c r="F267" s="137">
        <v>8538.4</v>
      </c>
    </row>
    <row r="268" spans="1:6" ht="22.5">
      <c r="A268" s="140" t="s">
        <v>512</v>
      </c>
      <c r="B268" s="140" t="s">
        <v>160</v>
      </c>
      <c r="C268" s="140" t="s">
        <v>244</v>
      </c>
      <c r="D268" s="141" t="s">
        <v>513</v>
      </c>
      <c r="E268" s="140" t="s">
        <v>161</v>
      </c>
      <c r="F268" s="137">
        <v>128.29</v>
      </c>
    </row>
    <row r="269" spans="1:6" ht="12.75">
      <c r="A269" s="140" t="s">
        <v>514</v>
      </c>
      <c r="B269" s="140" t="s">
        <v>160</v>
      </c>
      <c r="C269" s="140" t="s">
        <v>244</v>
      </c>
      <c r="D269" s="141" t="s">
        <v>515</v>
      </c>
      <c r="E269" s="140" t="s">
        <v>166</v>
      </c>
      <c r="F269" s="137">
        <v>69.54</v>
      </c>
    </row>
    <row r="270" spans="1:6" ht="12.75">
      <c r="A270" s="140" t="s">
        <v>516</v>
      </c>
      <c r="B270" s="140" t="s">
        <v>160</v>
      </c>
      <c r="C270" s="140" t="s">
        <v>244</v>
      </c>
      <c r="D270" s="141" t="s">
        <v>517</v>
      </c>
      <c r="E270" s="140" t="s">
        <v>166</v>
      </c>
      <c r="F270" s="137">
        <v>74.85</v>
      </c>
    </row>
    <row r="271" spans="1:6" ht="22.5">
      <c r="A271" s="140" t="s">
        <v>518</v>
      </c>
      <c r="B271" s="140" t="s">
        <v>160</v>
      </c>
      <c r="C271" s="140" t="s">
        <v>244</v>
      </c>
      <c r="D271" s="141" t="s">
        <v>519</v>
      </c>
      <c r="E271" s="140" t="s">
        <v>166</v>
      </c>
      <c r="F271" s="137">
        <v>73.36</v>
      </c>
    </row>
    <row r="272" spans="1:6" ht="12.75">
      <c r="A272" s="140" t="s">
        <v>520</v>
      </c>
      <c r="B272" s="140" t="s">
        <v>160</v>
      </c>
      <c r="C272" s="140" t="s">
        <v>244</v>
      </c>
      <c r="D272" s="141" t="s">
        <v>521</v>
      </c>
      <c r="E272" s="140" t="s">
        <v>166</v>
      </c>
      <c r="F272" s="137">
        <v>109.9</v>
      </c>
    </row>
    <row r="273" spans="1:6" ht="22.5">
      <c r="A273" s="140" t="s">
        <v>522</v>
      </c>
      <c r="B273" s="140" t="s">
        <v>160</v>
      </c>
      <c r="C273" s="140" t="s">
        <v>244</v>
      </c>
      <c r="D273" s="141" t="s">
        <v>523</v>
      </c>
      <c r="E273" s="140" t="s">
        <v>161</v>
      </c>
      <c r="F273" s="137">
        <v>224.5</v>
      </c>
    </row>
    <row r="274" spans="1:6" ht="12.75">
      <c r="A274" s="140" t="s">
        <v>524</v>
      </c>
      <c r="B274" s="140" t="s">
        <v>160</v>
      </c>
      <c r="C274" s="140" t="s">
        <v>244</v>
      </c>
      <c r="D274" s="141" t="s">
        <v>525</v>
      </c>
      <c r="E274" s="140" t="s">
        <v>161</v>
      </c>
      <c r="F274" s="137">
        <v>55.8</v>
      </c>
    </row>
    <row r="275" spans="1:6" ht="12.75">
      <c r="A275" s="140" t="s">
        <v>526</v>
      </c>
      <c r="B275" s="140" t="s">
        <v>160</v>
      </c>
      <c r="C275" s="140" t="s">
        <v>244</v>
      </c>
      <c r="D275" s="141" t="s">
        <v>527</v>
      </c>
      <c r="E275" s="140" t="s">
        <v>161</v>
      </c>
      <c r="F275" s="137">
        <v>65.98</v>
      </c>
    </row>
  </sheetData>
  <sheetProtection sheet="1" objects="1" scenarios="1"/>
  <mergeCells count="9">
    <mergeCell ref="A7:F7"/>
    <mergeCell ref="A2:B2"/>
    <mergeCell ref="E2:F2"/>
    <mergeCell ref="A4:B4"/>
    <mergeCell ref="C4:D4"/>
    <mergeCell ref="E4:F4"/>
    <mergeCell ref="A6:B6"/>
    <mergeCell ref="C6:D6"/>
    <mergeCell ref="E6:F6"/>
  </mergeCells>
  <printOptions horizontalCentered="1"/>
  <pageMargins left="0.590277777777778" right="0.590277777777778" top="0.590277777777778" bottom="0.590277777777778" header="0.511805555555555" footer="0.511805555555555"/>
  <pageSetup fitToHeight="0"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F110"/>
  <sheetViews>
    <sheetView showGridLines="0" zoomScalePageLayoutView="0" workbookViewId="0" topLeftCell="A1">
      <selection activeCell="A1" sqref="A1"/>
    </sheetView>
  </sheetViews>
  <sheetFormatPr defaultColWidth="8.7109375" defaultRowHeight="12.75"/>
  <cols>
    <col min="1" max="1" width="27.7109375" style="103" customWidth="1"/>
    <col min="2" max="3" width="20.7109375" style="103" customWidth="1"/>
    <col min="4" max="4" width="0.9921875" style="103" customWidth="1"/>
    <col min="5" max="6" width="20.7109375" style="103" customWidth="1"/>
    <col min="7" max="16384" width="8.7109375" style="103" customWidth="1"/>
  </cols>
  <sheetData>
    <row r="1" spans="1:6" s="101" customFormat="1" ht="22.5" customHeight="1">
      <c r="A1" s="173" t="str">
        <f>'Orçamento Sintético'!A1</f>
        <v>P. Execução:</v>
      </c>
      <c r="B1" s="213" t="str">
        <f>'Orçamento Sintético'!D1</f>
        <v>Objeto: Remanescente da reforma acessibilidade do edifício das Promotorias de Justiça da Infância</v>
      </c>
      <c r="C1" s="213"/>
      <c r="D1" s="213"/>
      <c r="E1" s="213"/>
      <c r="F1" s="174" t="str">
        <f>'Orçamento Sintético'!C1</f>
        <v>Licitação:</v>
      </c>
    </row>
    <row r="2" spans="1:6" s="101" customFormat="1" ht="12.75">
      <c r="A2" s="175" t="str">
        <f>'Orçamento Sintético'!A2</f>
        <v>A</v>
      </c>
      <c r="B2" s="214" t="str">
        <f>'Orçamento Sintético'!D2</f>
        <v>Local: SEPN 711/911, - Asa Norte Bloco B - Brasília – DF</v>
      </c>
      <c r="C2" s="214"/>
      <c r="D2" s="214"/>
      <c r="E2" s="214"/>
      <c r="F2" s="176" t="str">
        <f>'Orçamento Sintético'!C2</f>
        <v>B</v>
      </c>
    </row>
    <row r="3" spans="1:6" s="101" customFormat="1" ht="12.75">
      <c r="A3" s="177" t="str">
        <f>'Orçamento Sintético'!A3</f>
        <v>P. Validade:</v>
      </c>
      <c r="B3" s="215" t="str">
        <f>'Orçamento Sintético'!C3</f>
        <v>Razão Social:</v>
      </c>
      <c r="C3" s="215"/>
      <c r="D3" s="215"/>
      <c r="E3" s="215"/>
      <c r="F3" s="178" t="str">
        <f>'Orçamento Sintético'!E1</f>
        <v>Data:</v>
      </c>
    </row>
    <row r="4" spans="1:6" s="101" customFormat="1" ht="12.75">
      <c r="A4" s="175" t="str">
        <f>'Orçamento Sintético'!A4</f>
        <v>C</v>
      </c>
      <c r="B4" s="209" t="str">
        <f>'Orçamento Sintético'!C4</f>
        <v>D</v>
      </c>
      <c r="C4" s="209"/>
      <c r="D4" s="209"/>
      <c r="E4" s="209"/>
      <c r="F4" s="179">
        <f>'Orçamento Sintético'!E2</f>
        <v>1</v>
      </c>
    </row>
    <row r="5" spans="1:6" s="101" customFormat="1" ht="12.75">
      <c r="A5" s="173" t="str">
        <f>'Orçamento Sintético'!A5</f>
        <v>P. Garantia:</v>
      </c>
      <c r="B5" s="215" t="str">
        <f>'Orçamento Sintético'!C5</f>
        <v>CNPJ:</v>
      </c>
      <c r="C5" s="215"/>
      <c r="D5" s="215"/>
      <c r="E5" s="215"/>
      <c r="F5" s="174" t="str">
        <f>'Orçamento Sintético'!E3</f>
        <v>Telefone:</v>
      </c>
    </row>
    <row r="6" spans="1:6" s="101" customFormat="1" ht="12.75">
      <c r="A6" s="175" t="str">
        <f>'Orçamento Sintético'!A6</f>
        <v>F</v>
      </c>
      <c r="B6" s="209" t="str">
        <f>'Orçamento Sintético'!C6</f>
        <v>G</v>
      </c>
      <c r="C6" s="209"/>
      <c r="D6" s="209"/>
      <c r="E6" s="209"/>
      <c r="F6" s="180" t="str">
        <f>'Orçamento Sintético'!E4</f>
        <v>E</v>
      </c>
    </row>
    <row r="7" spans="1:6" s="101" customFormat="1" ht="13.5" customHeight="1">
      <c r="A7" s="210" t="s">
        <v>528</v>
      </c>
      <c r="B7" s="210"/>
      <c r="C7" s="210"/>
      <c r="D7" s="210"/>
      <c r="E7" s="210"/>
      <c r="F7" s="210"/>
    </row>
    <row r="8" spans="1:6" ht="15" customHeight="1">
      <c r="A8" s="211" t="s">
        <v>116</v>
      </c>
      <c r="B8" s="212" t="s">
        <v>529</v>
      </c>
      <c r="C8" s="212"/>
      <c r="D8" s="181"/>
      <c r="E8" s="212" t="s">
        <v>530</v>
      </c>
      <c r="F8" s="212"/>
    </row>
    <row r="9" spans="1:6" ht="12.75">
      <c r="A9" s="211"/>
      <c r="B9" s="182" t="s">
        <v>531</v>
      </c>
      <c r="C9" s="182" t="s">
        <v>532</v>
      </c>
      <c r="D9" s="183"/>
      <c r="E9" s="182" t="s">
        <v>531</v>
      </c>
      <c r="F9" s="182" t="s">
        <v>532</v>
      </c>
    </row>
    <row r="10" spans="1:6" ht="12.75">
      <c r="A10" s="184" t="s">
        <v>1228</v>
      </c>
      <c r="B10" s="185" t="s">
        <v>534</v>
      </c>
      <c r="C10" s="185" t="s">
        <v>535</v>
      </c>
      <c r="D10" s="186"/>
      <c r="E10" s="147"/>
      <c r="F10" s="148"/>
    </row>
    <row r="11" spans="1:6" ht="12.75">
      <c r="A11" s="184" t="s">
        <v>1229</v>
      </c>
      <c r="B11" s="185" t="s">
        <v>1230</v>
      </c>
      <c r="C11" s="185" t="s">
        <v>1231</v>
      </c>
      <c r="D11" s="187"/>
      <c r="E11" s="147"/>
      <c r="F11" s="148"/>
    </row>
    <row r="12" spans="1:6" ht="12.75">
      <c r="A12" s="184" t="s">
        <v>1232</v>
      </c>
      <c r="B12" s="185" t="s">
        <v>1230</v>
      </c>
      <c r="C12" s="185" t="s">
        <v>1233</v>
      </c>
      <c r="D12" s="187"/>
      <c r="E12" s="147"/>
      <c r="F12" s="148"/>
    </row>
    <row r="13" spans="1:6" s="188" customFormat="1" ht="12.75">
      <c r="A13" s="184" t="s">
        <v>1234</v>
      </c>
      <c r="B13" s="185" t="s">
        <v>1235</v>
      </c>
      <c r="C13" s="185" t="s">
        <v>1236</v>
      </c>
      <c r="D13" s="187"/>
      <c r="E13" s="147"/>
      <c r="F13" s="148"/>
    </row>
    <row r="14" spans="1:6" s="188" customFormat="1" ht="12.75">
      <c r="A14" s="184" t="s">
        <v>1237</v>
      </c>
      <c r="B14" s="185" t="s">
        <v>1238</v>
      </c>
      <c r="C14" s="185" t="s">
        <v>1239</v>
      </c>
      <c r="D14" s="187"/>
      <c r="E14" s="147"/>
      <c r="F14" s="148"/>
    </row>
    <row r="15" spans="1:6" ht="12.75">
      <c r="A15" s="184" t="s">
        <v>1240</v>
      </c>
      <c r="B15" s="185" t="s">
        <v>534</v>
      </c>
      <c r="C15" s="185" t="s">
        <v>1251</v>
      </c>
      <c r="D15" s="187"/>
      <c r="E15" s="147"/>
      <c r="F15" s="148"/>
    </row>
    <row r="16" spans="1:6" ht="12.75">
      <c r="A16" s="184" t="s">
        <v>1241</v>
      </c>
      <c r="B16" s="185" t="s">
        <v>534</v>
      </c>
      <c r="C16" s="185" t="s">
        <v>1251</v>
      </c>
      <c r="D16" s="187"/>
      <c r="E16" s="147"/>
      <c r="F16" s="148"/>
    </row>
    <row r="17" spans="1:6" ht="12.75">
      <c r="A17" s="184" t="s">
        <v>1242</v>
      </c>
      <c r="B17" s="185" t="s">
        <v>534</v>
      </c>
      <c r="C17" s="185" t="s">
        <v>1251</v>
      </c>
      <c r="D17" s="187"/>
      <c r="E17" s="147"/>
      <c r="F17" s="148"/>
    </row>
    <row r="18" spans="1:6" ht="12.75">
      <c r="A18" s="184" t="s">
        <v>536</v>
      </c>
      <c r="B18" s="185" t="s">
        <v>545</v>
      </c>
      <c r="C18" s="185" t="s">
        <v>1252</v>
      </c>
      <c r="D18" s="187"/>
      <c r="E18" s="147"/>
      <c r="F18" s="148"/>
    </row>
    <row r="19" spans="1:6" ht="22.5">
      <c r="A19" s="184" t="s">
        <v>538</v>
      </c>
      <c r="B19" s="185" t="s">
        <v>1243</v>
      </c>
      <c r="C19" s="185" t="s">
        <v>1253</v>
      </c>
      <c r="D19" s="187"/>
      <c r="E19" s="147"/>
      <c r="F19" s="148"/>
    </row>
    <row r="20" spans="1:6" ht="12.75">
      <c r="A20" s="184" t="s">
        <v>1244</v>
      </c>
      <c r="B20" s="185" t="s">
        <v>1248</v>
      </c>
      <c r="C20" s="185" t="s">
        <v>1254</v>
      </c>
      <c r="D20" s="187"/>
      <c r="E20" s="147"/>
      <c r="F20" s="148"/>
    </row>
    <row r="21" spans="1:6" ht="12.75">
      <c r="A21" s="184" t="s">
        <v>1245</v>
      </c>
      <c r="B21" s="185" t="s">
        <v>1248</v>
      </c>
      <c r="C21" s="185" t="s">
        <v>1254</v>
      </c>
      <c r="D21" s="187"/>
      <c r="E21" s="147"/>
      <c r="F21" s="148"/>
    </row>
    <row r="22" spans="1:6" ht="12.75">
      <c r="A22" s="184" t="s">
        <v>536</v>
      </c>
      <c r="B22" s="185" t="s">
        <v>1249</v>
      </c>
      <c r="C22" s="185" t="s">
        <v>1255</v>
      </c>
      <c r="D22" s="187"/>
      <c r="E22" s="147"/>
      <c r="F22" s="148"/>
    </row>
    <row r="23" spans="1:6" ht="12.75">
      <c r="A23" s="184" t="s">
        <v>538</v>
      </c>
      <c r="B23" s="185" t="s">
        <v>1243</v>
      </c>
      <c r="C23" s="185" t="s">
        <v>535</v>
      </c>
      <c r="D23" s="187"/>
      <c r="E23" s="147"/>
      <c r="F23" s="148"/>
    </row>
    <row r="24" spans="1:6" ht="33.75">
      <c r="A24" s="184" t="s">
        <v>1246</v>
      </c>
      <c r="B24" s="185" t="s">
        <v>1250</v>
      </c>
      <c r="C24" s="185" t="s">
        <v>1256</v>
      </c>
      <c r="D24" s="187"/>
      <c r="E24" s="147"/>
      <c r="F24" s="148"/>
    </row>
    <row r="25" spans="1:6" ht="12.75">
      <c r="A25" s="184" t="s">
        <v>1247</v>
      </c>
      <c r="B25" s="185" t="s">
        <v>1250</v>
      </c>
      <c r="C25" s="185" t="s">
        <v>1257</v>
      </c>
      <c r="D25" s="187"/>
      <c r="E25" s="147"/>
      <c r="F25" s="148"/>
    </row>
    <row r="26" spans="1:6" ht="12.75">
      <c r="A26" s="184" t="s">
        <v>1244</v>
      </c>
      <c r="B26" s="185" t="s">
        <v>1248</v>
      </c>
      <c r="C26" s="185" t="s">
        <v>1254</v>
      </c>
      <c r="D26" s="187"/>
      <c r="E26" s="147"/>
      <c r="F26" s="148"/>
    </row>
    <row r="27" spans="1:6" ht="12.75">
      <c r="A27" s="184" t="s">
        <v>1245</v>
      </c>
      <c r="B27" s="185" t="s">
        <v>1248</v>
      </c>
      <c r="C27" s="185" t="s">
        <v>1254</v>
      </c>
      <c r="D27" s="187"/>
      <c r="E27" s="147"/>
      <c r="F27" s="148"/>
    </row>
    <row r="28" spans="1:6" ht="12.75">
      <c r="A28" s="184" t="s">
        <v>1258</v>
      </c>
      <c r="B28" s="185" t="s">
        <v>542</v>
      </c>
      <c r="C28" s="185" t="s">
        <v>1260</v>
      </c>
      <c r="D28" s="187"/>
      <c r="E28" s="147"/>
      <c r="F28" s="148"/>
    </row>
    <row r="29" spans="1:6" ht="12.75">
      <c r="A29" s="184" t="s">
        <v>1259</v>
      </c>
      <c r="B29" s="185" t="s">
        <v>542</v>
      </c>
      <c r="C29" s="185" t="s">
        <v>1261</v>
      </c>
      <c r="D29" s="187"/>
      <c r="E29" s="147"/>
      <c r="F29" s="148"/>
    </row>
    <row r="30" spans="1:6" ht="12.75">
      <c r="A30" s="184" t="s">
        <v>536</v>
      </c>
      <c r="B30" s="185" t="s">
        <v>1249</v>
      </c>
      <c r="C30" s="185" t="s">
        <v>1255</v>
      </c>
      <c r="D30" s="187"/>
      <c r="E30" s="147"/>
      <c r="F30" s="148"/>
    </row>
    <row r="31" spans="1:6" ht="12.75">
      <c r="A31" s="184" t="s">
        <v>538</v>
      </c>
      <c r="B31" s="185" t="s">
        <v>1243</v>
      </c>
      <c r="C31" s="185" t="s">
        <v>1262</v>
      </c>
      <c r="D31" s="187"/>
      <c r="E31" s="147"/>
      <c r="F31" s="148"/>
    </row>
    <row r="32" spans="1:6" ht="12.75">
      <c r="A32" s="184" t="s">
        <v>1263</v>
      </c>
      <c r="B32" s="185" t="s">
        <v>534</v>
      </c>
      <c r="C32" s="185" t="s">
        <v>537</v>
      </c>
      <c r="D32" s="187"/>
      <c r="E32" s="147"/>
      <c r="F32" s="148"/>
    </row>
    <row r="33" spans="1:6" ht="12.75">
      <c r="A33" s="184" t="s">
        <v>1264</v>
      </c>
      <c r="B33" s="185" t="s">
        <v>1267</v>
      </c>
      <c r="C33" s="185" t="s">
        <v>1268</v>
      </c>
      <c r="D33" s="187"/>
      <c r="E33" s="147"/>
      <c r="F33" s="148"/>
    </row>
    <row r="34" spans="1:6" ht="22.5">
      <c r="A34" s="184" t="s">
        <v>1265</v>
      </c>
      <c r="B34" s="185" t="s">
        <v>1267</v>
      </c>
      <c r="C34" s="185" t="s">
        <v>1269</v>
      </c>
      <c r="D34" s="187"/>
      <c r="E34" s="147"/>
      <c r="F34" s="148"/>
    </row>
    <row r="35" spans="1:6" ht="12.75">
      <c r="A35" s="184" t="s">
        <v>1266</v>
      </c>
      <c r="B35" s="185" t="s">
        <v>1267</v>
      </c>
      <c r="C35" s="185" t="s">
        <v>1270</v>
      </c>
      <c r="D35" s="187"/>
      <c r="E35" s="147"/>
      <c r="F35" s="148"/>
    </row>
    <row r="36" spans="1:6" ht="22.5">
      <c r="A36" s="184" t="s">
        <v>1271</v>
      </c>
      <c r="B36" s="185" t="s">
        <v>1267</v>
      </c>
      <c r="C36" s="185" t="s">
        <v>1287</v>
      </c>
      <c r="D36" s="187"/>
      <c r="E36" s="147"/>
      <c r="F36" s="148"/>
    </row>
    <row r="37" spans="1:6" ht="12.75">
      <c r="A37" s="184" t="s">
        <v>1272</v>
      </c>
      <c r="B37" s="185" t="s">
        <v>1284</v>
      </c>
      <c r="C37" s="185" t="s">
        <v>1288</v>
      </c>
      <c r="D37" s="187"/>
      <c r="E37" s="147"/>
      <c r="F37" s="148"/>
    </row>
    <row r="38" spans="1:6" ht="12.75">
      <c r="A38" s="184" t="s">
        <v>1273</v>
      </c>
      <c r="B38" s="185" t="s">
        <v>1285</v>
      </c>
      <c r="C38" s="185" t="s">
        <v>1289</v>
      </c>
      <c r="D38" s="187"/>
      <c r="E38" s="147"/>
      <c r="F38" s="148"/>
    </row>
    <row r="39" spans="1:6" ht="22.5">
      <c r="A39" s="184" t="s">
        <v>1274</v>
      </c>
      <c r="B39" s="185" t="s">
        <v>1267</v>
      </c>
      <c r="C39" s="185" t="s">
        <v>1290</v>
      </c>
      <c r="D39" s="187"/>
      <c r="E39" s="147"/>
      <c r="F39" s="148"/>
    </row>
    <row r="40" spans="1:6" ht="22.5">
      <c r="A40" s="184" t="s">
        <v>1275</v>
      </c>
      <c r="B40" s="185" t="s">
        <v>1286</v>
      </c>
      <c r="C40" s="185" t="s">
        <v>1291</v>
      </c>
      <c r="D40" s="187"/>
      <c r="E40" s="147"/>
      <c r="F40" s="148"/>
    </row>
    <row r="41" spans="1:6" ht="12.75">
      <c r="A41" s="184" t="s">
        <v>1276</v>
      </c>
      <c r="B41" s="185" t="s">
        <v>1284</v>
      </c>
      <c r="C41" s="185" t="s">
        <v>1292</v>
      </c>
      <c r="D41" s="187"/>
      <c r="E41" s="147"/>
      <c r="F41" s="148"/>
    </row>
    <row r="42" spans="1:6" ht="12.75">
      <c r="A42" s="184" t="s">
        <v>1277</v>
      </c>
      <c r="B42" s="185" t="s">
        <v>1267</v>
      </c>
      <c r="C42" s="185" t="s">
        <v>1293</v>
      </c>
      <c r="D42" s="187"/>
      <c r="E42" s="147"/>
      <c r="F42" s="148"/>
    </row>
    <row r="43" spans="1:6" ht="12.75">
      <c r="A43" s="184" t="s">
        <v>1278</v>
      </c>
      <c r="B43" s="185" t="s">
        <v>1267</v>
      </c>
      <c r="C43" s="185" t="s">
        <v>1294</v>
      </c>
      <c r="D43" s="187"/>
      <c r="E43" s="147"/>
      <c r="F43" s="148"/>
    </row>
    <row r="44" spans="1:6" ht="22.5">
      <c r="A44" s="184" t="s">
        <v>1279</v>
      </c>
      <c r="B44" s="185" t="s">
        <v>1267</v>
      </c>
      <c r="C44" s="185" t="s">
        <v>1295</v>
      </c>
      <c r="D44" s="187"/>
      <c r="E44" s="147"/>
      <c r="F44" s="148"/>
    </row>
    <row r="45" spans="1:6" ht="22.5">
      <c r="A45" s="184" t="s">
        <v>1280</v>
      </c>
      <c r="B45" s="185" t="s">
        <v>1267</v>
      </c>
      <c r="C45" s="185" t="s">
        <v>1296</v>
      </c>
      <c r="D45" s="187"/>
      <c r="E45" s="147"/>
      <c r="F45" s="148"/>
    </row>
    <row r="46" spans="1:6" ht="12.75">
      <c r="A46" s="184" t="s">
        <v>1281</v>
      </c>
      <c r="B46" s="185" t="s">
        <v>1267</v>
      </c>
      <c r="C46" s="185" t="s">
        <v>1297</v>
      </c>
      <c r="D46" s="187"/>
      <c r="E46" s="147"/>
      <c r="F46" s="148"/>
    </row>
    <row r="47" spans="1:6" ht="12.75">
      <c r="A47" s="184" t="s">
        <v>1282</v>
      </c>
      <c r="B47" s="185" t="s">
        <v>1267</v>
      </c>
      <c r="C47" s="185" t="s">
        <v>1298</v>
      </c>
      <c r="D47" s="187"/>
      <c r="E47" s="147"/>
      <c r="F47" s="148"/>
    </row>
    <row r="48" spans="1:6" ht="12.75">
      <c r="A48" s="184" t="s">
        <v>1283</v>
      </c>
      <c r="B48" s="185" t="s">
        <v>1267</v>
      </c>
      <c r="C48" s="185" t="s">
        <v>1299</v>
      </c>
      <c r="D48" s="187"/>
      <c r="E48" s="147"/>
      <c r="F48" s="148"/>
    </row>
    <row r="49" spans="1:6" ht="33.75">
      <c r="A49" s="184" t="s">
        <v>1300</v>
      </c>
      <c r="B49" s="185" t="s">
        <v>1267</v>
      </c>
      <c r="C49" s="185" t="s">
        <v>1314</v>
      </c>
      <c r="D49" s="187"/>
      <c r="E49" s="147"/>
      <c r="F49" s="148"/>
    </row>
    <row r="50" spans="1:6" ht="12.75">
      <c r="A50" s="184" t="s">
        <v>1301</v>
      </c>
      <c r="B50" s="185" t="s">
        <v>1267</v>
      </c>
      <c r="C50" s="185" t="s">
        <v>1315</v>
      </c>
      <c r="D50" s="187"/>
      <c r="E50" s="147"/>
      <c r="F50" s="148"/>
    </row>
    <row r="51" spans="1:6" ht="12.75">
      <c r="A51" s="184" t="s">
        <v>1302</v>
      </c>
      <c r="B51" s="185" t="s">
        <v>1267</v>
      </c>
      <c r="C51" s="185" t="s">
        <v>1316</v>
      </c>
      <c r="D51" s="187"/>
      <c r="E51" s="147"/>
      <c r="F51" s="148"/>
    </row>
    <row r="52" spans="1:6" ht="12.75">
      <c r="A52" s="184" t="s">
        <v>1303</v>
      </c>
      <c r="B52" s="185" t="s">
        <v>1284</v>
      </c>
      <c r="C52" s="185" t="s">
        <v>1292</v>
      </c>
      <c r="D52" s="187"/>
      <c r="E52" s="147"/>
      <c r="F52" s="148"/>
    </row>
    <row r="53" spans="1:6" ht="12.75">
      <c r="A53" s="184" t="s">
        <v>1304</v>
      </c>
      <c r="B53" s="185" t="s">
        <v>1267</v>
      </c>
      <c r="C53" s="185">
        <v>4509202</v>
      </c>
      <c r="D53" s="187"/>
      <c r="E53" s="147"/>
      <c r="F53" s="148"/>
    </row>
    <row r="54" spans="1:6" ht="22.5">
      <c r="A54" s="184" t="s">
        <v>1305</v>
      </c>
      <c r="B54" s="185" t="s">
        <v>1267</v>
      </c>
      <c r="C54" s="185" t="s">
        <v>1317</v>
      </c>
      <c r="D54" s="187"/>
      <c r="E54" s="147"/>
      <c r="F54" s="148"/>
    </row>
    <row r="55" spans="1:6" ht="12.75">
      <c r="A55" s="184" t="s">
        <v>1306</v>
      </c>
      <c r="B55" s="185" t="s">
        <v>1267</v>
      </c>
      <c r="C55" s="185">
        <v>4509502</v>
      </c>
      <c r="D55" s="187"/>
      <c r="E55" s="147"/>
      <c r="F55" s="148"/>
    </row>
    <row r="56" spans="1:6" ht="22.5">
      <c r="A56" s="184" t="s">
        <v>1307</v>
      </c>
      <c r="B56" s="185" t="s">
        <v>1267</v>
      </c>
      <c r="C56" s="185" t="s">
        <v>1318</v>
      </c>
      <c r="D56" s="187"/>
      <c r="E56" s="147"/>
      <c r="F56" s="148"/>
    </row>
    <row r="57" spans="1:6" ht="22.5">
      <c r="A57" s="184" t="s">
        <v>1308</v>
      </c>
      <c r="B57" s="185" t="s">
        <v>1267</v>
      </c>
      <c r="C57" s="185">
        <v>4416202</v>
      </c>
      <c r="D57" s="187"/>
      <c r="E57" s="147"/>
      <c r="F57" s="148"/>
    </row>
    <row r="58" spans="1:6" ht="22.5">
      <c r="A58" s="184" t="s">
        <v>1309</v>
      </c>
      <c r="B58" s="185" t="s">
        <v>1267</v>
      </c>
      <c r="C58" s="185" t="s">
        <v>1317</v>
      </c>
      <c r="D58" s="187"/>
      <c r="E58" s="147"/>
      <c r="F58" s="148"/>
    </row>
    <row r="59" spans="1:6" ht="22.5">
      <c r="A59" s="184" t="s">
        <v>1310</v>
      </c>
      <c r="B59" s="185" t="s">
        <v>1267</v>
      </c>
      <c r="C59" s="185" t="s">
        <v>1319</v>
      </c>
      <c r="D59" s="187"/>
      <c r="E59" s="147"/>
      <c r="F59" s="148"/>
    </row>
    <row r="60" spans="1:6" ht="12.75">
      <c r="A60" s="184" t="s">
        <v>1311</v>
      </c>
      <c r="B60" s="185" t="s">
        <v>543</v>
      </c>
      <c r="C60" s="185">
        <v>94535103</v>
      </c>
      <c r="D60" s="187"/>
      <c r="E60" s="147"/>
      <c r="F60" s="148"/>
    </row>
    <row r="61" spans="1:6" ht="12.75">
      <c r="A61" s="184" t="s">
        <v>1312</v>
      </c>
      <c r="B61" s="185" t="s">
        <v>543</v>
      </c>
      <c r="C61" s="185">
        <v>94535002</v>
      </c>
      <c r="D61" s="187"/>
      <c r="E61" s="147"/>
      <c r="F61" s="148"/>
    </row>
    <row r="62" spans="1:6" ht="12.75">
      <c r="A62" s="184" t="s">
        <v>1313</v>
      </c>
      <c r="B62" s="185" t="s">
        <v>543</v>
      </c>
      <c r="C62" s="185" t="s">
        <v>1320</v>
      </c>
      <c r="D62" s="187"/>
      <c r="E62" s="147"/>
      <c r="F62" s="148"/>
    </row>
    <row r="63" spans="1:6" ht="12.75">
      <c r="A63" s="184" t="s">
        <v>1321</v>
      </c>
      <c r="B63" s="185" t="s">
        <v>1330</v>
      </c>
      <c r="C63" s="185" t="s">
        <v>1334</v>
      </c>
      <c r="D63" s="187"/>
      <c r="E63" s="147"/>
      <c r="F63" s="148"/>
    </row>
    <row r="64" spans="1:6" ht="12.75">
      <c r="A64" s="184" t="s">
        <v>1322</v>
      </c>
      <c r="B64" s="185" t="s">
        <v>1331</v>
      </c>
      <c r="C64" s="185" t="s">
        <v>1335</v>
      </c>
      <c r="D64" s="187"/>
      <c r="E64" s="147"/>
      <c r="F64" s="148"/>
    </row>
    <row r="65" spans="1:6" ht="12.75">
      <c r="A65" s="184" t="s">
        <v>1323</v>
      </c>
      <c r="B65" s="185" t="s">
        <v>1331</v>
      </c>
      <c r="C65" s="185" t="s">
        <v>1335</v>
      </c>
      <c r="D65" s="187"/>
      <c r="E65" s="147"/>
      <c r="F65" s="148"/>
    </row>
    <row r="66" spans="1:6" ht="12.75">
      <c r="A66" s="184" t="s">
        <v>1324</v>
      </c>
      <c r="B66" s="185" t="s">
        <v>1267</v>
      </c>
      <c r="C66" s="185" t="s">
        <v>1336</v>
      </c>
      <c r="D66" s="187"/>
      <c r="E66" s="147"/>
      <c r="F66" s="148"/>
    </row>
    <row r="67" spans="1:6" ht="12.75">
      <c r="A67" s="184" t="s">
        <v>1325</v>
      </c>
      <c r="B67" s="185" t="s">
        <v>1332</v>
      </c>
      <c r="C67" s="185" t="s">
        <v>535</v>
      </c>
      <c r="D67" s="187"/>
      <c r="E67" s="147"/>
      <c r="F67" s="148"/>
    </row>
    <row r="68" spans="1:6" ht="12.75">
      <c r="A68" s="184" t="s">
        <v>1326</v>
      </c>
      <c r="B68" s="185" t="s">
        <v>1333</v>
      </c>
      <c r="C68" s="185" t="s">
        <v>535</v>
      </c>
      <c r="D68" s="187"/>
      <c r="E68" s="147"/>
      <c r="F68" s="148"/>
    </row>
    <row r="69" spans="1:6" ht="12.75">
      <c r="A69" s="184" t="s">
        <v>1327</v>
      </c>
      <c r="B69" s="185" t="s">
        <v>1333</v>
      </c>
      <c r="C69" s="185" t="s">
        <v>535</v>
      </c>
      <c r="D69" s="187"/>
      <c r="E69" s="147"/>
      <c r="F69" s="148"/>
    </row>
    <row r="70" spans="1:6" ht="12.75">
      <c r="A70" s="184" t="s">
        <v>1328</v>
      </c>
      <c r="B70" s="185" t="s">
        <v>1333</v>
      </c>
      <c r="C70" s="185" t="s">
        <v>535</v>
      </c>
      <c r="D70" s="187"/>
      <c r="E70" s="147"/>
      <c r="F70" s="148"/>
    </row>
    <row r="71" spans="1:6" ht="12.75">
      <c r="A71" s="184" t="s">
        <v>1329</v>
      </c>
      <c r="B71" s="185" t="s">
        <v>1333</v>
      </c>
      <c r="C71" s="185" t="s">
        <v>535</v>
      </c>
      <c r="D71" s="187"/>
      <c r="E71" s="147"/>
      <c r="F71" s="148"/>
    </row>
    <row r="72" spans="1:6" ht="12.75">
      <c r="A72" s="184" t="s">
        <v>1337</v>
      </c>
      <c r="B72" s="185" t="s">
        <v>1333</v>
      </c>
      <c r="C72" s="185" t="s">
        <v>535</v>
      </c>
      <c r="D72" s="187"/>
      <c r="E72" s="147"/>
      <c r="F72" s="148"/>
    </row>
    <row r="73" spans="1:6" ht="12.75">
      <c r="A73" s="184" t="s">
        <v>1338</v>
      </c>
      <c r="B73" s="185" t="s">
        <v>1340</v>
      </c>
      <c r="C73" s="185" t="s">
        <v>1341</v>
      </c>
      <c r="D73" s="187"/>
      <c r="E73" s="147"/>
      <c r="F73" s="148"/>
    </row>
    <row r="74" spans="1:6" ht="12.75">
      <c r="A74" s="184" t="s">
        <v>1339</v>
      </c>
      <c r="B74" s="185" t="s">
        <v>1333</v>
      </c>
      <c r="C74" s="185" t="s">
        <v>535</v>
      </c>
      <c r="D74" s="187"/>
      <c r="E74" s="147"/>
      <c r="F74" s="148"/>
    </row>
    <row r="75" spans="1:6" ht="12.75">
      <c r="A75" s="184" t="s">
        <v>1342</v>
      </c>
      <c r="B75" s="185" t="s">
        <v>1332</v>
      </c>
      <c r="C75" s="185" t="s">
        <v>535</v>
      </c>
      <c r="D75" s="187"/>
      <c r="E75" s="147"/>
      <c r="F75" s="148"/>
    </row>
    <row r="76" spans="1:6" ht="12.75">
      <c r="A76" s="184" t="s">
        <v>1343</v>
      </c>
      <c r="B76" s="185" t="s">
        <v>1267</v>
      </c>
      <c r="C76" s="185" t="s">
        <v>1346</v>
      </c>
      <c r="D76" s="187"/>
      <c r="E76" s="147"/>
      <c r="F76" s="148"/>
    </row>
    <row r="77" spans="1:6" ht="12.75">
      <c r="A77" s="184" t="s">
        <v>1344</v>
      </c>
      <c r="B77" s="185" t="s">
        <v>1267</v>
      </c>
      <c r="C77" s="185" t="s">
        <v>1347</v>
      </c>
      <c r="D77" s="187"/>
      <c r="E77" s="147"/>
      <c r="F77" s="148"/>
    </row>
    <row r="78" spans="1:6" ht="22.5">
      <c r="A78" s="184" t="s">
        <v>1348</v>
      </c>
      <c r="B78" s="185" t="s">
        <v>543</v>
      </c>
      <c r="C78" s="185" t="s">
        <v>1352</v>
      </c>
      <c r="D78" s="187"/>
      <c r="E78" s="147"/>
      <c r="F78" s="148"/>
    </row>
    <row r="79" spans="1:6" ht="12.75">
      <c r="A79" s="184" t="s">
        <v>1349</v>
      </c>
      <c r="B79" s="185" t="s">
        <v>543</v>
      </c>
      <c r="C79" s="185" t="s">
        <v>535</v>
      </c>
      <c r="D79" s="187"/>
      <c r="E79" s="147"/>
      <c r="F79" s="148"/>
    </row>
    <row r="80" spans="1:6" ht="12.75">
      <c r="A80" s="184" t="s">
        <v>1345</v>
      </c>
      <c r="B80" s="185" t="s">
        <v>543</v>
      </c>
      <c r="C80" s="185">
        <v>94525000</v>
      </c>
      <c r="D80" s="187"/>
      <c r="E80" s="147"/>
      <c r="F80" s="148"/>
    </row>
    <row r="81" spans="1:6" ht="12.75">
      <c r="A81" s="184" t="s">
        <v>1350</v>
      </c>
      <c r="B81" s="185" t="s">
        <v>1267</v>
      </c>
      <c r="C81" s="185" t="s">
        <v>1353</v>
      </c>
      <c r="D81" s="187"/>
      <c r="E81" s="147"/>
      <c r="F81" s="148"/>
    </row>
    <row r="82" spans="1:6" ht="12.75">
      <c r="A82" s="184" t="s">
        <v>1351</v>
      </c>
      <c r="B82" s="185" t="s">
        <v>1267</v>
      </c>
      <c r="C82" s="185" t="s">
        <v>1354</v>
      </c>
      <c r="D82" s="187"/>
      <c r="E82" s="147"/>
      <c r="F82" s="148"/>
    </row>
    <row r="83" spans="1:6" ht="33.75">
      <c r="A83" s="184" t="s">
        <v>1355</v>
      </c>
      <c r="B83" s="185" t="s">
        <v>1331</v>
      </c>
      <c r="C83" s="185" t="s">
        <v>1335</v>
      </c>
      <c r="D83" s="187"/>
      <c r="E83" s="147"/>
      <c r="F83" s="148"/>
    </row>
    <row r="84" spans="1:6" ht="22.5">
      <c r="A84" s="184" t="s">
        <v>539</v>
      </c>
      <c r="B84" s="185" t="s">
        <v>541</v>
      </c>
      <c r="C84" s="185" t="s">
        <v>1356</v>
      </c>
      <c r="D84" s="187"/>
      <c r="E84" s="147"/>
      <c r="F84" s="148"/>
    </row>
    <row r="85" spans="1:6" ht="12.75">
      <c r="A85" s="184" t="s">
        <v>1357</v>
      </c>
      <c r="B85" s="185" t="s">
        <v>1361</v>
      </c>
      <c r="C85" s="185" t="s">
        <v>1364</v>
      </c>
      <c r="D85" s="187"/>
      <c r="E85" s="147"/>
      <c r="F85" s="148"/>
    </row>
    <row r="86" spans="1:6" ht="12.75">
      <c r="A86" s="184" t="s">
        <v>1358</v>
      </c>
      <c r="B86" s="185" t="s">
        <v>544</v>
      </c>
      <c r="C86" s="185" t="s">
        <v>1365</v>
      </c>
      <c r="D86" s="187"/>
      <c r="E86" s="147"/>
      <c r="F86" s="148"/>
    </row>
    <row r="87" spans="1:6" ht="12.75">
      <c r="A87" s="184" t="s">
        <v>1359</v>
      </c>
      <c r="B87" s="185" t="s">
        <v>1362</v>
      </c>
      <c r="C87" s="185">
        <v>1763021</v>
      </c>
      <c r="D87" s="187"/>
      <c r="E87" s="147"/>
      <c r="F87" s="148"/>
    </row>
    <row r="88" spans="1:6" ht="12.75">
      <c r="A88" s="184" t="s">
        <v>1360</v>
      </c>
      <c r="B88" s="185" t="s">
        <v>1363</v>
      </c>
      <c r="C88" s="185" t="s">
        <v>1366</v>
      </c>
      <c r="D88" s="187"/>
      <c r="E88" s="147"/>
      <c r="F88" s="148"/>
    </row>
    <row r="89" spans="1:6" ht="12.75">
      <c r="A89" s="184" t="s">
        <v>1367</v>
      </c>
      <c r="B89" s="185" t="s">
        <v>1373</v>
      </c>
      <c r="C89" s="185" t="s">
        <v>1374</v>
      </c>
      <c r="D89" s="187"/>
      <c r="E89" s="147"/>
      <c r="F89" s="148"/>
    </row>
    <row r="90" spans="1:6" ht="12.75">
      <c r="A90" s="184" t="s">
        <v>1368</v>
      </c>
      <c r="B90" s="185" t="s">
        <v>1373</v>
      </c>
      <c r="C90" s="185" t="s">
        <v>1375</v>
      </c>
      <c r="D90" s="187"/>
      <c r="E90" s="147"/>
      <c r="F90" s="148"/>
    </row>
    <row r="91" spans="1:6" ht="12.75">
      <c r="A91" s="184" t="s">
        <v>1369</v>
      </c>
      <c r="B91" s="185" t="s">
        <v>1373</v>
      </c>
      <c r="C91" s="185" t="s">
        <v>1376</v>
      </c>
      <c r="D91" s="187"/>
      <c r="E91" s="147"/>
      <c r="F91" s="148"/>
    </row>
    <row r="92" spans="1:6" ht="12.75">
      <c r="A92" s="184" t="s">
        <v>1370</v>
      </c>
      <c r="B92" s="185" t="s">
        <v>1373</v>
      </c>
      <c r="C92" s="185" t="s">
        <v>1377</v>
      </c>
      <c r="D92" s="187"/>
      <c r="E92" s="147"/>
      <c r="F92" s="148"/>
    </row>
    <row r="93" spans="1:6" ht="12.75">
      <c r="A93" s="184" t="s">
        <v>1371</v>
      </c>
      <c r="B93" s="185" t="s">
        <v>1373</v>
      </c>
      <c r="C93" s="185" t="s">
        <v>1378</v>
      </c>
      <c r="D93" s="187"/>
      <c r="E93" s="147"/>
      <c r="F93" s="148"/>
    </row>
    <row r="94" spans="1:6" ht="12.75">
      <c r="A94" s="184" t="s">
        <v>1372</v>
      </c>
      <c r="B94" s="185" t="s">
        <v>1373</v>
      </c>
      <c r="C94" s="185" t="s">
        <v>1379</v>
      </c>
      <c r="D94" s="187"/>
      <c r="E94" s="147"/>
      <c r="F94" s="148"/>
    </row>
    <row r="95" spans="1:6" ht="22.5">
      <c r="A95" s="184" t="s">
        <v>1380</v>
      </c>
      <c r="B95" s="185" t="s">
        <v>1381</v>
      </c>
      <c r="C95" s="185" t="s">
        <v>535</v>
      </c>
      <c r="D95" s="187"/>
      <c r="E95" s="147"/>
      <c r="F95" s="148"/>
    </row>
    <row r="96" spans="1:6" ht="12.75">
      <c r="A96" s="184" t="s">
        <v>1382</v>
      </c>
      <c r="B96" s="185" t="s">
        <v>1385</v>
      </c>
      <c r="C96" s="185" t="s">
        <v>1386</v>
      </c>
      <c r="D96" s="187"/>
      <c r="E96" s="147"/>
      <c r="F96" s="148"/>
    </row>
    <row r="97" spans="1:6" ht="12.75">
      <c r="A97" s="184" t="s">
        <v>1383</v>
      </c>
      <c r="B97" s="185" t="s">
        <v>1385</v>
      </c>
      <c r="C97" s="185" t="s">
        <v>535</v>
      </c>
      <c r="D97" s="187"/>
      <c r="E97" s="147"/>
      <c r="F97" s="148"/>
    </row>
    <row r="98" spans="1:6" ht="12.75">
      <c r="A98" s="184" t="s">
        <v>1384</v>
      </c>
      <c r="B98" s="185" t="s">
        <v>544</v>
      </c>
      <c r="C98" s="185" t="s">
        <v>1387</v>
      </c>
      <c r="D98" s="187"/>
      <c r="E98" s="147"/>
      <c r="F98" s="148"/>
    </row>
    <row r="99" spans="1:6" ht="157.5">
      <c r="A99" s="184" t="s">
        <v>42</v>
      </c>
      <c r="B99" s="185" t="s">
        <v>44</v>
      </c>
      <c r="C99" s="185" t="s">
        <v>45</v>
      </c>
      <c r="D99" s="187"/>
      <c r="E99" s="147"/>
      <c r="F99" s="148"/>
    </row>
    <row r="100" spans="1:6" ht="157.5">
      <c r="A100" s="184" t="s">
        <v>43</v>
      </c>
      <c r="B100" s="185" t="s">
        <v>44</v>
      </c>
      <c r="C100" s="185" t="s">
        <v>46</v>
      </c>
      <c r="D100" s="187"/>
      <c r="E100" s="147"/>
      <c r="F100" s="148"/>
    </row>
    <row r="101" spans="1:6" ht="157.5">
      <c r="A101" s="184" t="s">
        <v>47</v>
      </c>
      <c r="B101" s="185" t="s">
        <v>44</v>
      </c>
      <c r="C101" s="185" t="s">
        <v>48</v>
      </c>
      <c r="D101" s="187"/>
      <c r="E101" s="147"/>
      <c r="F101" s="148"/>
    </row>
    <row r="102" spans="1:6" ht="56.25">
      <c r="A102" s="184" t="s">
        <v>49</v>
      </c>
      <c r="B102" s="185" t="s">
        <v>52</v>
      </c>
      <c r="C102" s="185" t="s">
        <v>53</v>
      </c>
      <c r="D102" s="187"/>
      <c r="E102" s="147"/>
      <c r="F102" s="148"/>
    </row>
    <row r="103" spans="1:6" ht="56.25">
      <c r="A103" s="184" t="s">
        <v>50</v>
      </c>
      <c r="B103" s="185" t="s">
        <v>52</v>
      </c>
      <c r="C103" s="185" t="s">
        <v>54</v>
      </c>
      <c r="D103" s="187"/>
      <c r="E103" s="147"/>
      <c r="F103" s="148"/>
    </row>
    <row r="104" spans="1:6" ht="33.75">
      <c r="A104" s="184" t="s">
        <v>51</v>
      </c>
      <c r="B104" s="185" t="s">
        <v>44</v>
      </c>
      <c r="C104" s="185" t="s">
        <v>55</v>
      </c>
      <c r="D104" s="187"/>
      <c r="E104" s="147"/>
      <c r="F104" s="148"/>
    </row>
    <row r="105" spans="1:6" ht="258.75">
      <c r="A105" s="184" t="s">
        <v>698</v>
      </c>
      <c r="B105" s="185" t="s">
        <v>699</v>
      </c>
      <c r="C105" s="185" t="s">
        <v>700</v>
      </c>
      <c r="D105" s="187"/>
      <c r="E105" s="147"/>
      <c r="F105" s="148"/>
    </row>
    <row r="106" spans="1:6" ht="56.25">
      <c r="A106" s="184" t="s">
        <v>701</v>
      </c>
      <c r="B106" s="185" t="s">
        <v>702</v>
      </c>
      <c r="C106" s="185" t="s">
        <v>703</v>
      </c>
      <c r="D106" s="187"/>
      <c r="E106" s="147"/>
      <c r="F106" s="148"/>
    </row>
    <row r="107" spans="1:6" ht="33.75">
      <c r="A107" s="184" t="s">
        <v>704</v>
      </c>
      <c r="B107" s="185" t="s">
        <v>705</v>
      </c>
      <c r="C107" s="185" t="s">
        <v>535</v>
      </c>
      <c r="D107" s="187"/>
      <c r="E107" s="147"/>
      <c r="F107" s="148"/>
    </row>
    <row r="108" spans="1:6" ht="22.5">
      <c r="A108" s="184" t="s">
        <v>706</v>
      </c>
      <c r="B108" s="185" t="s">
        <v>705</v>
      </c>
      <c r="C108" s="185" t="s">
        <v>707</v>
      </c>
      <c r="D108" s="187"/>
      <c r="E108" s="147"/>
      <c r="F108" s="148"/>
    </row>
    <row r="109" spans="1:6" ht="135">
      <c r="A109" s="184" t="s">
        <v>708</v>
      </c>
      <c r="B109" s="185" t="s">
        <v>533</v>
      </c>
      <c r="C109" s="185" t="s">
        <v>709</v>
      </c>
      <c r="D109" s="187"/>
      <c r="E109" s="147"/>
      <c r="F109" s="148"/>
    </row>
    <row r="110" spans="1:6" ht="45">
      <c r="A110" s="184" t="s">
        <v>710</v>
      </c>
      <c r="B110" s="185" t="s">
        <v>540</v>
      </c>
      <c r="C110" s="185" t="s">
        <v>711</v>
      </c>
      <c r="D110" s="187"/>
      <c r="E110" s="147"/>
      <c r="F110" s="148"/>
    </row>
  </sheetData>
  <sheetProtection sheet="1" objects="1" scenarios="1"/>
  <mergeCells count="10">
    <mergeCell ref="B5:E5"/>
    <mergeCell ref="B1:E1"/>
    <mergeCell ref="B2:E2"/>
    <mergeCell ref="B3:E3"/>
    <mergeCell ref="B4:E4"/>
    <mergeCell ref="B6:E6"/>
    <mergeCell ref="A7:F7"/>
    <mergeCell ref="A8:A9"/>
    <mergeCell ref="B8:C8"/>
    <mergeCell ref="E8:F8"/>
  </mergeCells>
  <printOptions horizontalCentered="1"/>
  <pageMargins left="0.5905511811023623" right="0.5905511811023623" top="0.5905511811023623" bottom="0.5905511811023623" header="0.5118110236220472" footer="0.5118110236220472"/>
  <pageSetup fitToHeight="0" fitToWidth="1" horizontalDpi="300" verticalDpi="3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D23"/>
  <sheetViews>
    <sheetView showGridLines="0" zoomScalePageLayoutView="0" workbookViewId="0" topLeftCell="A1">
      <selection activeCell="A1" sqref="A1"/>
    </sheetView>
  </sheetViews>
  <sheetFormatPr defaultColWidth="11.57421875" defaultRowHeight="12.75"/>
  <cols>
    <col min="1" max="2" width="10.7109375" style="0" customWidth="1"/>
    <col min="3" max="3" width="65.7109375" style="0" customWidth="1"/>
    <col min="4" max="4" width="18.7109375" style="0" customWidth="1"/>
  </cols>
  <sheetData>
    <row r="1" spans="1:4" ht="22.5">
      <c r="A1" s="142" t="str">
        <f>'Orçamento Sintético'!A1</f>
        <v>P. Execução:</v>
      </c>
      <c r="B1" s="149"/>
      <c r="C1" s="150" t="str">
        <f>'Orçamento Sintético'!D1</f>
        <v>Objeto: Remanescente da reforma acessibilidade do edifício das Promotorias de Justiça da Infância</v>
      </c>
      <c r="D1" s="144" t="str">
        <f>'Orçamento Sintético'!C1</f>
        <v>Licitação:</v>
      </c>
    </row>
    <row r="2" spans="1:4" ht="12.75">
      <c r="A2" s="220" t="str">
        <f>'Orçamento Sintético'!A2:B2</f>
        <v>A</v>
      </c>
      <c r="B2" s="220"/>
      <c r="C2" s="151" t="str">
        <f>'Orçamento Sintético'!D2</f>
        <v>Local: SEPN 711/911, - Asa Norte Bloco B - Brasília – DF</v>
      </c>
      <c r="D2" s="146" t="str">
        <f>'Orçamento Sintético'!C2</f>
        <v>B</v>
      </c>
    </row>
    <row r="3" spans="1:4" ht="12.75" customHeight="1">
      <c r="A3" s="142" t="str">
        <f>'Orçamento Sintético'!A3</f>
        <v>P. Validade:</v>
      </c>
      <c r="B3" s="149"/>
      <c r="C3" s="142" t="str">
        <f>'Orçamento Sintético'!C3</f>
        <v>Razão Social:</v>
      </c>
      <c r="D3" s="144" t="str">
        <f>'Orçamento Sintético'!E1</f>
        <v>Data:</v>
      </c>
    </row>
    <row r="4" spans="1:4" ht="12.75">
      <c r="A4" s="220" t="str">
        <f>'Orçamento Sintético'!A4:B4</f>
        <v>C</v>
      </c>
      <c r="B4" s="220"/>
      <c r="C4" s="143" t="str">
        <f>'Orçamento Sintético'!C4</f>
        <v>D</v>
      </c>
      <c r="D4" s="50">
        <f>'Orçamento Sintético'!E2</f>
        <v>1</v>
      </c>
    </row>
    <row r="5" spans="1:4" ht="12.75">
      <c r="A5" s="142" t="str">
        <f>'Orçamento Sintético'!A5</f>
        <v>P. Garantia:</v>
      </c>
      <c r="B5" s="149"/>
      <c r="C5" s="142" t="str">
        <f>'Orçamento Sintético'!C5</f>
        <v>CNPJ:</v>
      </c>
      <c r="D5" s="144" t="str">
        <f>'Orçamento Sintético'!E3</f>
        <v>Telefone:</v>
      </c>
    </row>
    <row r="6" spans="1:4" ht="12.75">
      <c r="A6" s="220" t="str">
        <f>'Orçamento Sintético'!A6:B6</f>
        <v>F</v>
      </c>
      <c r="B6" s="220"/>
      <c r="C6" s="143" t="str">
        <f>'Orçamento Sintético'!C6</f>
        <v>G</v>
      </c>
      <c r="D6" s="145" t="str">
        <f>'Orçamento Sintético'!E4</f>
        <v>E</v>
      </c>
    </row>
    <row r="7" spans="1:4" ht="13.5" customHeight="1">
      <c r="A7" s="221" t="s">
        <v>546</v>
      </c>
      <c r="B7" s="221"/>
      <c r="C7" s="221"/>
      <c r="D7" s="221"/>
    </row>
    <row r="8" spans="1:4" ht="12.75">
      <c r="A8" s="21" t="s">
        <v>116</v>
      </c>
      <c r="B8" s="217" t="s">
        <v>547</v>
      </c>
      <c r="C8" s="217"/>
      <c r="D8" s="21" t="s">
        <v>548</v>
      </c>
    </row>
    <row r="9" spans="1:4" ht="12.75" customHeight="1">
      <c r="A9" s="51" t="s">
        <v>549</v>
      </c>
      <c r="B9" s="218" t="s">
        <v>550</v>
      </c>
      <c r="C9" s="218"/>
      <c r="D9" s="52"/>
    </row>
    <row r="10" spans="1:4" ht="12.75" customHeight="1">
      <c r="A10" s="53" t="s">
        <v>71</v>
      </c>
      <c r="B10" s="219" t="s">
        <v>551</v>
      </c>
      <c r="C10" s="219"/>
      <c r="D10" s="54">
        <f>ROUND(SUM(D11:D15),4)</f>
        <v>0.1574</v>
      </c>
    </row>
    <row r="11" spans="1:4" ht="12.75">
      <c r="A11" s="55" t="s">
        <v>552</v>
      </c>
      <c r="B11" s="56" t="s">
        <v>553</v>
      </c>
      <c r="C11" s="57"/>
      <c r="D11" s="152">
        <v>0.04</v>
      </c>
    </row>
    <row r="12" spans="1:4" ht="12.75">
      <c r="A12" s="55" t="s">
        <v>554</v>
      </c>
      <c r="B12" s="56" t="s">
        <v>555</v>
      </c>
      <c r="C12" s="57"/>
      <c r="D12" s="152">
        <v>0.008</v>
      </c>
    </row>
    <row r="13" spans="1:4" ht="12.75">
      <c r="A13" s="55" t="s">
        <v>556</v>
      </c>
      <c r="B13" s="56" t="s">
        <v>557</v>
      </c>
      <c r="C13" s="57"/>
      <c r="D13" s="152">
        <v>0.0127</v>
      </c>
    </row>
    <row r="14" spans="1:4" ht="12.75">
      <c r="A14" s="55" t="s">
        <v>558</v>
      </c>
      <c r="B14" s="56" t="s">
        <v>559</v>
      </c>
      <c r="C14" s="57"/>
      <c r="D14" s="152">
        <v>0.0123</v>
      </c>
    </row>
    <row r="15" spans="1:4" ht="12.75">
      <c r="A15" s="55" t="s">
        <v>560</v>
      </c>
      <c r="B15" s="56" t="s">
        <v>561</v>
      </c>
      <c r="C15" s="57"/>
      <c r="D15" s="152">
        <v>0.0844</v>
      </c>
    </row>
    <row r="16" spans="1:4" ht="12.75">
      <c r="A16" s="59"/>
      <c r="B16" s="56"/>
      <c r="C16" s="57"/>
      <c r="D16" s="58"/>
    </row>
    <row r="17" spans="1:4" ht="12.75" customHeight="1">
      <c r="A17" s="51" t="s">
        <v>562</v>
      </c>
      <c r="B17" s="218" t="s">
        <v>563</v>
      </c>
      <c r="C17" s="218"/>
      <c r="D17" s="52"/>
    </row>
    <row r="18" spans="1:4" ht="12.75" customHeight="1">
      <c r="A18" s="53" t="s">
        <v>77</v>
      </c>
      <c r="B18" s="219" t="s">
        <v>564</v>
      </c>
      <c r="C18" s="219"/>
      <c r="D18" s="54">
        <f>D19+D20+D21</f>
        <v>0.0465</v>
      </c>
    </row>
    <row r="19" spans="1:4" ht="12.75">
      <c r="A19" s="55"/>
      <c r="B19" s="56" t="s">
        <v>565</v>
      </c>
      <c r="C19" s="57"/>
      <c r="D19" s="152">
        <v>0.0065</v>
      </c>
    </row>
    <row r="20" spans="1:4" ht="12.75">
      <c r="A20" s="55"/>
      <c r="B20" s="56" t="s">
        <v>566</v>
      </c>
      <c r="C20" s="57"/>
      <c r="D20" s="152">
        <v>0.03</v>
      </c>
    </row>
    <row r="21" spans="1:4" ht="12.75">
      <c r="A21" s="55"/>
      <c r="B21" s="56" t="s">
        <v>567</v>
      </c>
      <c r="C21" s="57"/>
      <c r="D21" s="152">
        <f>TRUNC(2%*'Orçamento Sintético'!B230,4)</f>
        <v>0.01</v>
      </c>
    </row>
    <row r="22" spans="1:4" ht="12.75">
      <c r="A22" s="55"/>
      <c r="B22" s="56"/>
      <c r="C22" s="57"/>
      <c r="D22" s="58"/>
    </row>
    <row r="23" spans="1:4" ht="12.75" customHeight="1">
      <c r="A23" s="60" t="s">
        <v>568</v>
      </c>
      <c r="B23" s="216" t="s">
        <v>569</v>
      </c>
      <c r="C23" s="216"/>
      <c r="D23" s="61">
        <f>ROUND((((1+(D11+D12+D13))*(1+D14)*(1+D15))/(1-D18)-1),4)</f>
        <v>0.2212</v>
      </c>
    </row>
  </sheetData>
  <sheetProtection sheet="1" objects="1" scenarios="1"/>
  <mergeCells count="10">
    <mergeCell ref="A2:B2"/>
    <mergeCell ref="A4:B4"/>
    <mergeCell ref="A6:B6"/>
    <mergeCell ref="A7:D7"/>
    <mergeCell ref="B23:C23"/>
    <mergeCell ref="B8:C8"/>
    <mergeCell ref="B9:C9"/>
    <mergeCell ref="B10:C10"/>
    <mergeCell ref="B17:C17"/>
    <mergeCell ref="B18:C18"/>
  </mergeCells>
  <printOptions horizontalCentered="1"/>
  <pageMargins left="0.590277777777778" right="0.590277777777778" top="0.590277777777778" bottom="0.590277777777778" header="0.511805555555555" footer="0.51180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44"/>
  <sheetViews>
    <sheetView showGridLines="0" zoomScalePageLayoutView="0" workbookViewId="0" topLeftCell="A1">
      <selection activeCell="A1" sqref="A1"/>
    </sheetView>
  </sheetViews>
  <sheetFormatPr defaultColWidth="11.57421875" defaultRowHeight="12.75"/>
  <cols>
    <col min="1" max="2" width="10.7109375" style="0" customWidth="1"/>
    <col min="3" max="3" width="65.7109375" style="0" customWidth="1"/>
    <col min="4" max="4" width="18.7109375" style="0" customWidth="1"/>
  </cols>
  <sheetData>
    <row r="1" spans="1:4" ht="22.5">
      <c r="A1" s="142" t="str">
        <f>'Orçamento Sintético'!A1</f>
        <v>P. Execução:</v>
      </c>
      <c r="B1" s="149"/>
      <c r="C1" s="150" t="str">
        <f>'Orçamento Sintético'!D1</f>
        <v>Objeto: Remanescente da reforma acessibilidade do edifício das Promotorias de Justiça da Infância</v>
      </c>
      <c r="D1" s="144" t="str">
        <f>'Orçamento Sintético'!C1</f>
        <v>Licitação:</v>
      </c>
    </row>
    <row r="2" spans="1:4" ht="12.75">
      <c r="A2" s="220" t="str">
        <f>'Orçamento Sintético'!A2:B2</f>
        <v>A</v>
      </c>
      <c r="B2" s="220"/>
      <c r="C2" s="151" t="str">
        <f>'Orçamento Sintético'!D2</f>
        <v>Local: SEPN 711/911, - Asa Norte Bloco B - Brasília – DF</v>
      </c>
      <c r="D2" s="146" t="str">
        <f>'Orçamento Sintético'!C2</f>
        <v>B</v>
      </c>
    </row>
    <row r="3" spans="1:4" ht="12.75" customHeight="1">
      <c r="A3" s="142" t="str">
        <f>'Orçamento Sintético'!A3</f>
        <v>P. Validade:</v>
      </c>
      <c r="B3" s="149"/>
      <c r="C3" s="142" t="str">
        <f>'Orçamento Sintético'!C3</f>
        <v>Razão Social:</v>
      </c>
      <c r="D3" s="144" t="str">
        <f>'Orçamento Sintético'!E1</f>
        <v>Data:</v>
      </c>
    </row>
    <row r="4" spans="1:4" ht="12.75">
      <c r="A4" s="220" t="str">
        <f>'Orçamento Sintético'!A4:B4</f>
        <v>C</v>
      </c>
      <c r="B4" s="220"/>
      <c r="C4" s="143" t="str">
        <f>'Orçamento Sintético'!C4</f>
        <v>D</v>
      </c>
      <c r="D4" s="50">
        <f>'Orçamento Sintético'!E2</f>
        <v>1</v>
      </c>
    </row>
    <row r="5" spans="1:4" ht="12.75">
      <c r="A5" s="142" t="str">
        <f>'Orçamento Sintético'!A5</f>
        <v>P. Garantia:</v>
      </c>
      <c r="B5" s="149"/>
      <c r="C5" s="142" t="str">
        <f>'Orçamento Sintético'!C5</f>
        <v>CNPJ:</v>
      </c>
      <c r="D5" s="144" t="str">
        <f>'Orçamento Sintético'!E3</f>
        <v>Telefone:</v>
      </c>
    </row>
    <row r="6" spans="1:4" ht="12.75">
      <c r="A6" s="220" t="str">
        <f>'Orçamento Sintético'!A6:B6</f>
        <v>F</v>
      </c>
      <c r="B6" s="220"/>
      <c r="C6" s="143" t="str">
        <f>'Orçamento Sintético'!C6</f>
        <v>G</v>
      </c>
      <c r="D6" s="145" t="str">
        <f>'Orçamento Sintético'!E4</f>
        <v>E</v>
      </c>
    </row>
    <row r="7" spans="1:4" ht="15">
      <c r="A7" s="224" t="s">
        <v>1226</v>
      </c>
      <c r="B7" s="224"/>
      <c r="C7" s="224"/>
      <c r="D7" s="224"/>
    </row>
    <row r="8" spans="1:4" ht="12.75">
      <c r="A8" s="21" t="s">
        <v>116</v>
      </c>
      <c r="B8" s="217" t="s">
        <v>547</v>
      </c>
      <c r="C8" s="217"/>
      <c r="D8" s="21" t="s">
        <v>548</v>
      </c>
    </row>
    <row r="9" spans="1:4" ht="12.75" customHeight="1">
      <c r="A9" s="223" t="s">
        <v>570</v>
      </c>
      <c r="B9" s="223"/>
      <c r="C9" s="223"/>
      <c r="D9" s="223"/>
    </row>
    <row r="10" spans="1:4" ht="12.75">
      <c r="A10" s="62" t="s">
        <v>71</v>
      </c>
      <c r="B10" s="63" t="s">
        <v>571</v>
      </c>
      <c r="C10" s="64"/>
      <c r="D10" s="153">
        <v>0.2</v>
      </c>
    </row>
    <row r="11" spans="1:4" ht="12.75">
      <c r="A11" s="62" t="s">
        <v>73</v>
      </c>
      <c r="B11" s="63" t="s">
        <v>572</v>
      </c>
      <c r="C11" s="64"/>
      <c r="D11" s="153">
        <v>0.015</v>
      </c>
    </row>
    <row r="12" spans="1:4" ht="12.75">
      <c r="A12" s="62" t="s">
        <v>573</v>
      </c>
      <c r="B12" s="63" t="s">
        <v>574</v>
      </c>
      <c r="C12" s="64"/>
      <c r="D12" s="153">
        <v>0.01</v>
      </c>
    </row>
    <row r="13" spans="1:4" ht="12.75">
      <c r="A13" s="62" t="s">
        <v>575</v>
      </c>
      <c r="B13" s="63" t="s">
        <v>576</v>
      </c>
      <c r="C13" s="64"/>
      <c r="D13" s="153">
        <v>0.002</v>
      </c>
    </row>
    <row r="14" spans="1:4" ht="12.75">
      <c r="A14" s="62" t="s">
        <v>577</v>
      </c>
      <c r="B14" s="63" t="s">
        <v>578</v>
      </c>
      <c r="C14" s="64"/>
      <c r="D14" s="153">
        <v>0.006</v>
      </c>
    </row>
    <row r="15" spans="1:4" ht="12.75">
      <c r="A15" s="62" t="s">
        <v>579</v>
      </c>
      <c r="B15" s="63" t="s">
        <v>580</v>
      </c>
      <c r="C15" s="64"/>
      <c r="D15" s="153">
        <v>0.025</v>
      </c>
    </row>
    <row r="16" spans="1:4" ht="12.75">
      <c r="A16" s="62" t="s">
        <v>581</v>
      </c>
      <c r="B16" s="63" t="s">
        <v>582</v>
      </c>
      <c r="C16" s="64"/>
      <c r="D16" s="153">
        <v>0.03</v>
      </c>
    </row>
    <row r="17" spans="1:4" ht="12.75">
      <c r="A17" s="62" t="s">
        <v>583</v>
      </c>
      <c r="B17" s="63" t="s">
        <v>584</v>
      </c>
      <c r="C17" s="64"/>
      <c r="D17" s="153">
        <v>0.08</v>
      </c>
    </row>
    <row r="18" spans="1:4" ht="12.75">
      <c r="A18" s="62" t="s">
        <v>585</v>
      </c>
      <c r="B18" s="63" t="s">
        <v>586</v>
      </c>
      <c r="C18" s="64"/>
      <c r="D18" s="153">
        <v>0.01</v>
      </c>
    </row>
    <row r="19" spans="1:4" ht="12.75">
      <c r="A19" s="66" t="s">
        <v>69</v>
      </c>
      <c r="B19" s="67" t="s">
        <v>587</v>
      </c>
      <c r="C19" s="68"/>
      <c r="D19" s="69">
        <f>SUM(D10:D18)</f>
        <v>0.37800000000000006</v>
      </c>
    </row>
    <row r="20" spans="1:4" ht="12.75" customHeight="1">
      <c r="A20" s="223" t="s">
        <v>588</v>
      </c>
      <c r="B20" s="223"/>
      <c r="C20" s="223"/>
      <c r="D20" s="223"/>
    </row>
    <row r="21" spans="1:4" ht="12.75">
      <c r="A21" s="62" t="s">
        <v>77</v>
      </c>
      <c r="B21" s="63" t="s">
        <v>589</v>
      </c>
      <c r="C21" s="64"/>
      <c r="D21" s="153">
        <v>0.1775</v>
      </c>
    </row>
    <row r="22" spans="1:4" ht="12.75">
      <c r="A22" s="62" t="s">
        <v>79</v>
      </c>
      <c r="B22" s="63" t="s">
        <v>590</v>
      </c>
      <c r="C22" s="64"/>
      <c r="D22" s="153">
        <v>0.0341</v>
      </c>
    </row>
    <row r="23" spans="1:4" ht="12.75">
      <c r="A23" s="62" t="s">
        <v>81</v>
      </c>
      <c r="B23" s="63" t="s">
        <v>591</v>
      </c>
      <c r="C23" s="64"/>
      <c r="D23" s="153">
        <v>0.0084</v>
      </c>
    </row>
    <row r="24" spans="1:4" ht="12.75">
      <c r="A24" s="62" t="s">
        <v>592</v>
      </c>
      <c r="B24" s="63" t="s">
        <v>593</v>
      </c>
      <c r="C24" s="64"/>
      <c r="D24" s="153">
        <v>0.107</v>
      </c>
    </row>
    <row r="25" spans="1:4" ht="12.75">
      <c r="A25" s="62" t="s">
        <v>594</v>
      </c>
      <c r="B25" s="63" t="s">
        <v>595</v>
      </c>
      <c r="C25" s="64"/>
      <c r="D25" s="153">
        <v>0.0007</v>
      </c>
    </row>
    <row r="26" spans="1:4" ht="12.75">
      <c r="A26" s="62" t="s">
        <v>596</v>
      </c>
      <c r="B26" s="63" t="s">
        <v>597</v>
      </c>
      <c r="C26" s="64"/>
      <c r="D26" s="153">
        <v>0.0071</v>
      </c>
    </row>
    <row r="27" spans="1:4" ht="12.75">
      <c r="A27" s="62" t="s">
        <v>598</v>
      </c>
      <c r="B27" s="63" t="s">
        <v>599</v>
      </c>
      <c r="C27" s="64"/>
      <c r="D27" s="153">
        <v>0.0133</v>
      </c>
    </row>
    <row r="28" spans="1:4" ht="12.75">
      <c r="A28" s="62" t="s">
        <v>600</v>
      </c>
      <c r="B28" s="63" t="s">
        <v>601</v>
      </c>
      <c r="C28" s="64"/>
      <c r="D28" s="153">
        <v>0.001</v>
      </c>
    </row>
    <row r="29" spans="1:4" ht="12.75">
      <c r="A29" s="62" t="s">
        <v>602</v>
      </c>
      <c r="B29" s="63" t="s">
        <v>603</v>
      </c>
      <c r="C29" s="64"/>
      <c r="D29" s="153">
        <v>0.0802</v>
      </c>
    </row>
    <row r="30" spans="1:4" ht="12.75">
      <c r="A30" s="62" t="s">
        <v>604</v>
      </c>
      <c r="B30" s="63" t="s">
        <v>605</v>
      </c>
      <c r="C30" s="64"/>
      <c r="D30" s="153">
        <v>0.0003</v>
      </c>
    </row>
    <row r="31" spans="1:4" ht="12.75">
      <c r="A31" s="66" t="s">
        <v>75</v>
      </c>
      <c r="B31" s="67" t="s">
        <v>606</v>
      </c>
      <c r="C31" s="68"/>
      <c r="D31" s="69">
        <f>SUM(D21:D30)</f>
        <v>0.4295999999999999</v>
      </c>
    </row>
    <row r="32" spans="1:4" ht="12.75" customHeight="1">
      <c r="A32" s="223" t="s">
        <v>607</v>
      </c>
      <c r="B32" s="223"/>
      <c r="C32" s="223"/>
      <c r="D32" s="223"/>
    </row>
    <row r="33" spans="1:4" ht="12.75">
      <c r="A33" s="62" t="s">
        <v>85</v>
      </c>
      <c r="B33" s="63" t="s">
        <v>608</v>
      </c>
      <c r="C33" s="64"/>
      <c r="D33" s="153">
        <v>0.0415</v>
      </c>
    </row>
    <row r="34" spans="1:4" ht="12.75">
      <c r="A34" s="62" t="s">
        <v>87</v>
      </c>
      <c r="B34" s="63" t="s">
        <v>609</v>
      </c>
      <c r="C34" s="64"/>
      <c r="D34" s="153">
        <v>0.001</v>
      </c>
    </row>
    <row r="35" spans="1:4" ht="12.75">
      <c r="A35" s="62" t="s">
        <v>89</v>
      </c>
      <c r="B35" s="63" t="s">
        <v>610</v>
      </c>
      <c r="C35" s="64"/>
      <c r="D35" s="153">
        <v>0.0494</v>
      </c>
    </row>
    <row r="36" spans="1:4" ht="12.75">
      <c r="A36" s="62" t="s">
        <v>611</v>
      </c>
      <c r="B36" s="63" t="s">
        <v>612</v>
      </c>
      <c r="C36" s="64"/>
      <c r="D36" s="153">
        <v>0.0323</v>
      </c>
    </row>
    <row r="37" spans="1:4" ht="12.75">
      <c r="A37" s="62" t="s">
        <v>613</v>
      </c>
      <c r="B37" s="63" t="s">
        <v>614</v>
      </c>
      <c r="C37" s="64"/>
      <c r="D37" s="153">
        <v>0.0035</v>
      </c>
    </row>
    <row r="38" spans="1:4" ht="12.75">
      <c r="A38" s="66" t="s">
        <v>83</v>
      </c>
      <c r="B38" s="67" t="s">
        <v>606</v>
      </c>
      <c r="C38" s="68"/>
      <c r="D38" s="69">
        <f>SUM(D33:D37)</f>
        <v>0.1277</v>
      </c>
    </row>
    <row r="39" spans="1:4" ht="12.75" customHeight="1">
      <c r="A39" s="223" t="s">
        <v>615</v>
      </c>
      <c r="B39" s="223"/>
      <c r="C39" s="223"/>
      <c r="D39" s="223"/>
    </row>
    <row r="40" spans="1:4" ht="12.75">
      <c r="A40" s="62" t="s">
        <v>93</v>
      </c>
      <c r="B40" s="63" t="s">
        <v>616</v>
      </c>
      <c r="C40" s="64"/>
      <c r="D40" s="65">
        <f>ROUND(D19*D31,4)</f>
        <v>0.1624</v>
      </c>
    </row>
    <row r="41" spans="1:4" ht="12.75">
      <c r="A41" s="62" t="s">
        <v>617</v>
      </c>
      <c r="B41" s="63" t="s">
        <v>618</v>
      </c>
      <c r="C41" s="64"/>
      <c r="D41" s="65">
        <f>ROUND(D17*D33+D19*D34,4)</f>
        <v>0.0037</v>
      </c>
    </row>
    <row r="42" spans="1:4" ht="12.75">
      <c r="A42" s="66" t="s">
        <v>619</v>
      </c>
      <c r="B42" s="67" t="s">
        <v>620</v>
      </c>
      <c r="C42" s="68"/>
      <c r="D42" s="69">
        <f>SUM(D40:D41)</f>
        <v>0.1661</v>
      </c>
    </row>
    <row r="43" spans="1:4" ht="12.75">
      <c r="A43" s="62"/>
      <c r="B43" s="63"/>
      <c r="C43" s="64"/>
      <c r="D43" s="65"/>
    </row>
    <row r="44" spans="1:4" ht="12.75" customHeight="1">
      <c r="A44" s="222" t="s">
        <v>621</v>
      </c>
      <c r="B44" s="222"/>
      <c r="C44" s="222"/>
      <c r="D44" s="61">
        <f>D19+D31+D38+D42</f>
        <v>1.1014</v>
      </c>
    </row>
  </sheetData>
  <sheetProtection sheet="1" objects="1" scenarios="1"/>
  <mergeCells count="10">
    <mergeCell ref="A2:B2"/>
    <mergeCell ref="A4:B4"/>
    <mergeCell ref="A6:B6"/>
    <mergeCell ref="A7:D7"/>
    <mergeCell ref="A44:C44"/>
    <mergeCell ref="B8:C8"/>
    <mergeCell ref="A9:D9"/>
    <mergeCell ref="A20:D20"/>
    <mergeCell ref="A32:D32"/>
    <mergeCell ref="A39:D39"/>
  </mergeCells>
  <printOptions horizontalCentered="1"/>
  <pageMargins left="0.590277777777778" right="0.590277777777778" top="0.590277777777778" bottom="0.590277777777778" header="0.511805555555555" footer="0.51180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453"/>
  <sheetViews>
    <sheetView showGridLines="0" zoomScalePageLayoutView="0" workbookViewId="0" topLeftCell="A1">
      <selection activeCell="A1" sqref="A1"/>
    </sheetView>
  </sheetViews>
  <sheetFormatPr defaultColWidth="11.57421875" defaultRowHeight="12.75"/>
  <cols>
    <col min="1" max="1" width="13.7109375" style="0" customWidth="1"/>
    <col min="2" max="2" width="60.7109375" style="0" customWidth="1"/>
    <col min="3" max="3" width="18.7109375" style="0" customWidth="1"/>
    <col min="4" max="6" width="12.7109375" style="0" customWidth="1"/>
    <col min="7" max="16384" width="11.57421875" style="81" customWidth="1"/>
  </cols>
  <sheetData>
    <row r="1" spans="1:6" ht="22.5">
      <c r="A1" s="154" t="str">
        <f>'Orçamento Sintético'!A1</f>
        <v>P. Execução:</v>
      </c>
      <c r="B1" s="158" t="str">
        <f>'Orçamento Sintético'!D1</f>
        <v>Objeto: Remanescente da reforma acessibilidade do edifício das Promotorias de Justiça da Infância</v>
      </c>
      <c r="C1" s="155" t="str">
        <f>'Orçamento Sintético'!C1</f>
        <v>Licitação:</v>
      </c>
      <c r="D1" s="239"/>
      <c r="E1" s="239"/>
      <c r="F1" s="239"/>
    </row>
    <row r="2" spans="1:6" ht="12.75">
      <c r="A2" s="156" t="str">
        <f>'Orçamento Sintético'!A2</f>
        <v>A</v>
      </c>
      <c r="B2" s="159" t="str">
        <f>'Orçamento Sintético'!D2</f>
        <v>Local: SEPN 711/911, - Asa Norte Bloco B - Brasília – DF</v>
      </c>
      <c r="C2" s="160" t="str">
        <f>'Orçamento Sintético'!C2</f>
        <v>B</v>
      </c>
      <c r="D2" s="239"/>
      <c r="E2" s="239"/>
      <c r="F2" s="239"/>
    </row>
    <row r="3" spans="1:6" ht="12.75">
      <c r="A3" s="154" t="str">
        <f>'Orçamento Sintético'!A3</f>
        <v>P. Validade:</v>
      </c>
      <c r="B3" s="154" t="str">
        <f>'Orçamento Sintético'!C3</f>
        <v>Razão Social:</v>
      </c>
      <c r="C3" s="154" t="str">
        <f>'Orçamento Sintético'!E1</f>
        <v>Data:</v>
      </c>
      <c r="D3" s="239"/>
      <c r="E3" s="239"/>
      <c r="F3" s="239"/>
    </row>
    <row r="4" spans="1:6" ht="12.75">
      <c r="A4" s="156" t="str">
        <f>'Orçamento Sintético'!A4</f>
        <v>C</v>
      </c>
      <c r="B4" s="156" t="str">
        <f>'Orçamento Sintético'!C4</f>
        <v>D</v>
      </c>
      <c r="C4" s="70">
        <f>'Orçamento Sintético'!E2</f>
        <v>1</v>
      </c>
      <c r="D4" s="239"/>
      <c r="E4" s="239"/>
      <c r="F4" s="239"/>
    </row>
    <row r="5" spans="1:6" ht="12.75">
      <c r="A5" s="154" t="str">
        <f>'Orçamento Sintético'!A5</f>
        <v>P. Garantia:</v>
      </c>
      <c r="B5" s="154" t="str">
        <f>'Orçamento Sintético'!C5</f>
        <v>CNPJ:</v>
      </c>
      <c r="C5" s="155" t="str">
        <f>'Orçamento Sintético'!E3</f>
        <v>Telefone:</v>
      </c>
      <c r="D5" s="239"/>
      <c r="E5" s="239"/>
      <c r="F5" s="239"/>
    </row>
    <row r="6" spans="1:6" ht="12.75">
      <c r="A6" s="156" t="str">
        <f>'Orçamento Sintético'!A6</f>
        <v>F</v>
      </c>
      <c r="B6" s="156" t="str">
        <f>'Orçamento Sintético'!C6</f>
        <v>G</v>
      </c>
      <c r="C6" s="157" t="str">
        <f>'Orçamento Sintético'!E4</f>
        <v>E</v>
      </c>
      <c r="D6" s="239"/>
      <c r="E6" s="239"/>
      <c r="F6" s="239"/>
    </row>
    <row r="7" spans="1:6" ht="15" customHeight="1">
      <c r="A7" s="197" t="s">
        <v>622</v>
      </c>
      <c r="B7" s="197"/>
      <c r="C7" s="197"/>
      <c r="D7" s="197"/>
      <c r="E7" s="197"/>
      <c r="F7" s="197"/>
    </row>
    <row r="8" spans="1:6" ht="12.75">
      <c r="A8" s="71" t="s">
        <v>116</v>
      </c>
      <c r="B8" s="71" t="s">
        <v>117</v>
      </c>
      <c r="C8" s="49" t="s">
        <v>623</v>
      </c>
      <c r="D8" s="49" t="s">
        <v>624</v>
      </c>
      <c r="E8" s="49" t="s">
        <v>625</v>
      </c>
      <c r="F8" s="49" t="s">
        <v>626</v>
      </c>
    </row>
    <row r="9" spans="1:6" ht="12.75" customHeight="1">
      <c r="A9" s="234" t="s">
        <v>120</v>
      </c>
      <c r="B9" s="235" t="str">
        <f>VLOOKUP($A9,'Orçamento Sintético'!$A:$H,4,0)</f>
        <v>SERVIÇOS TÉCNICOS-PROFISSIONAIS</v>
      </c>
      <c r="C9" s="161">
        <f>ROUND(C10/$F$452,4)</f>
        <v>0.0004</v>
      </c>
      <c r="D9" s="162">
        <f>ROUND(D10/$C10,4)</f>
        <v>1</v>
      </c>
      <c r="E9" s="162">
        <f>ROUND(E10/$C10,4)</f>
        <v>0</v>
      </c>
      <c r="F9" s="162">
        <f>ROUND(F10/$C10,4)</f>
        <v>0</v>
      </c>
    </row>
    <row r="10" spans="1:6" ht="12.75" customHeight="1">
      <c r="A10" s="235"/>
      <c r="B10" s="235"/>
      <c r="C10" s="163">
        <f>VLOOKUP($A9,'Orçamento Sintético'!$A:$H,8,0)</f>
        <v>233.94</v>
      </c>
      <c r="D10" s="164">
        <f>D12</f>
        <v>233.94</v>
      </c>
      <c r="E10" s="164">
        <f>E12</f>
        <v>0</v>
      </c>
      <c r="F10" s="164">
        <f>F12</f>
        <v>0</v>
      </c>
    </row>
    <row r="11" spans="1:6" ht="12.75">
      <c r="A11" s="236" t="s">
        <v>633</v>
      </c>
      <c r="B11" s="227" t="str">
        <f>VLOOKUP($A11,'Orçamento Sintético'!$A:$H,4,0)</f>
        <v>TAXAS E EMOLUMENTOS</v>
      </c>
      <c r="C11" s="165">
        <f>ROUND(C12/$F$452,4)</f>
        <v>0.0004</v>
      </c>
      <c r="D11" s="165">
        <f>ROUND(D12/$C12,4)</f>
        <v>1</v>
      </c>
      <c r="E11" s="165">
        <f>ROUND(E12/$C12,4)</f>
        <v>0</v>
      </c>
      <c r="F11" s="165">
        <f>ROUND(F12/$C12,4)</f>
        <v>0</v>
      </c>
    </row>
    <row r="12" spans="1:6" ht="12.75">
      <c r="A12" s="237"/>
      <c r="B12" s="228"/>
      <c r="C12" s="166">
        <f>VLOOKUP($A11,'Orçamento Sintético'!$A:$H,8,0)</f>
        <v>233.94</v>
      </c>
      <c r="D12" s="166">
        <f>D14</f>
        <v>233.94</v>
      </c>
      <c r="E12" s="166">
        <f>E14</f>
        <v>0</v>
      </c>
      <c r="F12" s="166">
        <f>F14</f>
        <v>0</v>
      </c>
    </row>
    <row r="13" spans="1:6" ht="12.75" customHeight="1">
      <c r="A13" s="229" t="s">
        <v>634</v>
      </c>
      <c r="B13" s="225" t="str">
        <f>VLOOKUP($A13,'Orçamento Sintético'!$A:$H,4,0)</f>
        <v>Registro do contrato junto ao conselho de classe (ART)</v>
      </c>
      <c r="C13" s="167">
        <f>ROUND(C14/$F$452,4)</f>
        <v>0.0004</v>
      </c>
      <c r="D13" s="171">
        <v>1</v>
      </c>
      <c r="E13" s="171"/>
      <c r="F13" s="171">
        <f>1-SUM(D13:E13)</f>
        <v>0</v>
      </c>
    </row>
    <row r="14" spans="1:6" ht="12.75" customHeight="1">
      <c r="A14" s="229"/>
      <c r="B14" s="226"/>
      <c r="C14" s="168">
        <f>VLOOKUP($A13,'Orçamento Sintético'!$A:$H,8,0)</f>
        <v>233.94</v>
      </c>
      <c r="D14" s="172">
        <f>ROUND($C14*D13,2)</f>
        <v>233.94</v>
      </c>
      <c r="E14" s="172">
        <f>ROUND($C14*E13,2)</f>
        <v>0</v>
      </c>
      <c r="F14" s="172">
        <f>C14-SUM(D14:E14)</f>
        <v>0</v>
      </c>
    </row>
    <row r="15" spans="1:6" ht="12.75">
      <c r="A15" s="238" t="s">
        <v>122</v>
      </c>
      <c r="B15" s="235" t="str">
        <f>VLOOKUP($A15,'Orçamento Sintético'!$A:$H,4,0)</f>
        <v>SERVIÇOS PRELIMINARES</v>
      </c>
      <c r="C15" s="161">
        <f>ROUND(C16/$F$452,4)</f>
        <v>0.0287</v>
      </c>
      <c r="D15" s="162">
        <f>ROUND(D16/$C16,4)</f>
        <v>0.8024</v>
      </c>
      <c r="E15" s="162">
        <f>ROUND(E16/$C16,4)</f>
        <v>0.0878</v>
      </c>
      <c r="F15" s="162">
        <f>ROUND(F16/$C16,4)</f>
        <v>0.1098</v>
      </c>
    </row>
    <row r="16" spans="1:6" ht="12.75">
      <c r="A16" s="238"/>
      <c r="B16" s="235"/>
      <c r="C16" s="163">
        <f>VLOOKUP($A15,'Orçamento Sintético'!$A:$H,8,0)</f>
        <v>17605.91</v>
      </c>
      <c r="D16" s="164">
        <f>D18+D30</f>
        <v>14127.62</v>
      </c>
      <c r="E16" s="164">
        <f>E18+E30</f>
        <v>1545.56</v>
      </c>
      <c r="F16" s="164">
        <f>F18+F30</f>
        <v>1932.73</v>
      </c>
    </row>
    <row r="17" spans="1:6" ht="12.75" customHeight="1">
      <c r="A17" s="227" t="s">
        <v>637</v>
      </c>
      <c r="B17" s="227" t="str">
        <f>VLOOKUP($A17,'Orçamento Sintético'!$A:$H,4,0)</f>
        <v>CANTEIRO DE OBRAS</v>
      </c>
      <c r="C17" s="165">
        <f>ROUND(C18/$F$452,4)</f>
        <v>0.0084</v>
      </c>
      <c r="D17" s="165">
        <f>ROUND(D18/$C18,4)</f>
        <v>0.4023</v>
      </c>
      <c r="E17" s="165">
        <f>ROUND(E18/$C18,4)</f>
        <v>0.2988</v>
      </c>
      <c r="F17" s="165">
        <f>ROUND(F18/$C18,4)</f>
        <v>0.2989</v>
      </c>
    </row>
    <row r="18" spans="1:6" ht="12.75" customHeight="1">
      <c r="A18" s="228"/>
      <c r="B18" s="228"/>
      <c r="C18" s="166">
        <f>VLOOKUP($A17,'Orçamento Sintético'!$A:$H,8,0)</f>
        <v>5172.679999999999</v>
      </c>
      <c r="D18" s="166">
        <f>D20</f>
        <v>2080.85</v>
      </c>
      <c r="E18" s="166">
        <f>E20</f>
        <v>1545.56</v>
      </c>
      <c r="F18" s="166">
        <f>F20</f>
        <v>1546.27</v>
      </c>
    </row>
    <row r="19" spans="1:6" ht="12.75">
      <c r="A19" s="227" t="s">
        <v>639</v>
      </c>
      <c r="B19" s="227" t="str">
        <f>VLOOKUP($A19,'Orçamento Sintético'!$A:$H,4,0)</f>
        <v>Proteção e Sinalização</v>
      </c>
      <c r="C19" s="169">
        <f>ROUND(C20/$F$452,4)</f>
        <v>0.0084</v>
      </c>
      <c r="D19" s="169">
        <f>ROUND(D20/$C20,4)</f>
        <v>0.4023</v>
      </c>
      <c r="E19" s="169">
        <f>ROUND(E20/$C20,4)</f>
        <v>0.2988</v>
      </c>
      <c r="F19" s="169">
        <f>ROUND(F20/$C20,4)</f>
        <v>0.2989</v>
      </c>
    </row>
    <row r="20" spans="1:6" ht="12.75">
      <c r="A20" s="228"/>
      <c r="B20" s="228"/>
      <c r="C20" s="170">
        <f>VLOOKUP($A19,'Orçamento Sintético'!$A:$H,8,0)</f>
        <v>5172.679999999999</v>
      </c>
      <c r="D20" s="170">
        <f>D22+D24+D26+D28</f>
        <v>2080.85</v>
      </c>
      <c r="E20" s="170">
        <f>E22+E24+E26+E28</f>
        <v>1545.56</v>
      </c>
      <c r="F20" s="170">
        <f>F22+F24+F26+F28</f>
        <v>1546.27</v>
      </c>
    </row>
    <row r="21" spans="1:6" ht="12.75">
      <c r="A21" s="229" t="s">
        <v>641</v>
      </c>
      <c r="B21" s="225" t="str">
        <f>VLOOKUP($A21,'Orçamento Sintético'!$A:$H,4,0)</f>
        <v>SINALIZAÇÃO COM FITA FIXADA NA ESTRUTURA. AF_11/2017</v>
      </c>
      <c r="C21" s="167">
        <f>ROUND(C22/$F$452,4)</f>
        <v>0.0003</v>
      </c>
      <c r="D21" s="171">
        <v>1</v>
      </c>
      <c r="E21" s="171"/>
      <c r="F21" s="171">
        <f>1-SUM(D21:E21)</f>
        <v>0</v>
      </c>
    </row>
    <row r="22" spans="1:6" ht="12.75">
      <c r="A22" s="229"/>
      <c r="B22" s="226"/>
      <c r="C22" s="168">
        <f>VLOOKUP($A21,'Orçamento Sintético'!$A:$H,8,0)</f>
        <v>160.2</v>
      </c>
      <c r="D22" s="172">
        <f>ROUND($C22*D21,2)</f>
        <v>160.2</v>
      </c>
      <c r="E22" s="172">
        <f>ROUND($C22*E21,2)</f>
        <v>0</v>
      </c>
      <c r="F22" s="172">
        <f>C22-SUM(D22:E22)</f>
        <v>0</v>
      </c>
    </row>
    <row r="23" spans="1:6" ht="12.75">
      <c r="A23" s="229" t="s">
        <v>642</v>
      </c>
      <c r="B23" s="225" t="str">
        <f>VLOOKUP($A23,'Orçamento Sintético'!$A:$H,4,0)</f>
        <v>Copia da ORSE (3642) - Lona plástica preta para camada separadora de lastros ou proteção</v>
      </c>
      <c r="C23" s="167">
        <f>ROUND(C24/$F$452,4)</f>
        <v>0.0028</v>
      </c>
      <c r="D23" s="171">
        <v>0.41</v>
      </c>
      <c r="E23" s="171">
        <v>0.53</v>
      </c>
      <c r="F23" s="171">
        <f>1-SUM(D23:E23)</f>
        <v>0.06000000000000005</v>
      </c>
    </row>
    <row r="24" spans="1:6" ht="12.75">
      <c r="A24" s="229"/>
      <c r="B24" s="226"/>
      <c r="C24" s="168">
        <f>VLOOKUP($A23,'Orçamento Sintético'!$A:$H,8,0)</f>
        <v>1689</v>
      </c>
      <c r="D24" s="172">
        <f>ROUND($C24*D23,2)</f>
        <v>692.49</v>
      </c>
      <c r="E24" s="172">
        <f>ROUND($C24*E23,2)</f>
        <v>895.17</v>
      </c>
      <c r="F24" s="172">
        <f>C24-SUM(D24:E24)</f>
        <v>101.34000000000015</v>
      </c>
    </row>
    <row r="25" spans="1:6" ht="18.75" customHeight="1">
      <c r="A25" s="229" t="s">
        <v>644</v>
      </c>
      <c r="B25" s="225" t="str">
        <f>VLOOKUP($A25,'Orçamento Sintético'!$A:$H,4,0)</f>
        <v>ALUGUEL CONTAINER/ESCRIT INCL INST ELET LARG=2,20 COMP=6,20M          ALT=2,50M CHAPA ACO C/NERV TRAPEZ FORRO C/ISOL TERMO/ACUSTICO         CHASSIS REFORC PISO COMPENS NAVAL EXC TRANSP/CARGA/DESCARGA</v>
      </c>
      <c r="C25" s="167">
        <f>ROUND(C26/$F$452,4)</f>
        <v>0.0035</v>
      </c>
      <c r="D25" s="171">
        <v>0.3</v>
      </c>
      <c r="E25" s="171">
        <v>0.3</v>
      </c>
      <c r="F25" s="171">
        <f>1-SUM(D25:E25)</f>
        <v>0.4</v>
      </c>
    </row>
    <row r="26" spans="1:6" ht="18.75" customHeight="1">
      <c r="A26" s="229"/>
      <c r="B26" s="226"/>
      <c r="C26" s="168">
        <f>VLOOKUP($A25,'Orçamento Sintético'!$A:$H,8,0)</f>
        <v>2167.95</v>
      </c>
      <c r="D26" s="172">
        <f>ROUND($C26*D25,2)</f>
        <v>650.39</v>
      </c>
      <c r="E26" s="172">
        <f>ROUND($C26*E25,2)</f>
        <v>650.39</v>
      </c>
      <c r="F26" s="172">
        <f>C26-SUM(D26:E26)</f>
        <v>867.1699999999998</v>
      </c>
    </row>
    <row r="27" spans="1:6" ht="12.75">
      <c r="A27" s="229" t="s">
        <v>1225</v>
      </c>
      <c r="B27" s="225" t="str">
        <f>VLOOKUP($A27,'Orçamento Sintético'!$A:$H,4,0)</f>
        <v>Copia da SBC (210002) - TRANSPORTE, MONTAGEM, DESMONTAGEM E REMOÇÃO DE CONTEINERS EM OBRAS</v>
      </c>
      <c r="C27" s="167">
        <f>ROUND(C28/$F$452,4)</f>
        <v>0.0019</v>
      </c>
      <c r="D27" s="171">
        <v>0.5</v>
      </c>
      <c r="E27" s="171"/>
      <c r="F27" s="171">
        <f>1-SUM(D27:E27)</f>
        <v>0.5</v>
      </c>
    </row>
    <row r="28" spans="1:6" ht="12.75">
      <c r="A28" s="229"/>
      <c r="B28" s="226"/>
      <c r="C28" s="168">
        <f>VLOOKUP($A27,'Orçamento Sintético'!$A:$H,8,0)</f>
        <v>1155.53</v>
      </c>
      <c r="D28" s="172">
        <f>ROUND($C28*D27,2)</f>
        <v>577.77</v>
      </c>
      <c r="E28" s="172">
        <f>ROUND($C28*E27,2)</f>
        <v>0</v>
      </c>
      <c r="F28" s="172">
        <f>C28-SUM(D28:E28)</f>
        <v>577.76</v>
      </c>
    </row>
    <row r="29" spans="1:6" ht="12.75" customHeight="1">
      <c r="A29" s="227" t="s">
        <v>646</v>
      </c>
      <c r="B29" s="227" t="str">
        <f>VLOOKUP($A29,'Orçamento Sintético'!$A:$H,4,0)</f>
        <v>DEMOLIÇÃO</v>
      </c>
      <c r="C29" s="165">
        <f>ROUND(C30/$F$452,4)</f>
        <v>0.0202</v>
      </c>
      <c r="D29" s="165">
        <f>ROUND(D30/$C30,4)</f>
        <v>0.9689</v>
      </c>
      <c r="E29" s="165">
        <f>ROUND(E30/$C30,4)</f>
        <v>0</v>
      </c>
      <c r="F29" s="165">
        <f>ROUND(F30/$C30,4)</f>
        <v>0.0311</v>
      </c>
    </row>
    <row r="30" spans="1:6" ht="12.75" customHeight="1">
      <c r="A30" s="228"/>
      <c r="B30" s="228"/>
      <c r="C30" s="166">
        <f>VLOOKUP($A29,'Orçamento Sintético'!$A:$H,8,0)</f>
        <v>12433.23</v>
      </c>
      <c r="D30" s="166">
        <f>D32+D44</f>
        <v>12046.77</v>
      </c>
      <c r="E30" s="166">
        <f>E32+E44</f>
        <v>0</v>
      </c>
      <c r="F30" s="166">
        <f>F32+F44</f>
        <v>386.46</v>
      </c>
    </row>
    <row r="31" spans="1:6" ht="12.75">
      <c r="A31" s="227" t="s">
        <v>648</v>
      </c>
      <c r="B31" s="227" t="str">
        <f>VLOOKUP($A31,'Orçamento Sintético'!$A:$H,4,0)</f>
        <v>Demolição Convencional</v>
      </c>
      <c r="C31" s="169">
        <f>ROUND(C32/$F$452,4)</f>
        <v>0.0062</v>
      </c>
      <c r="D31" s="169">
        <f>ROUND(D32/$C32,4)</f>
        <v>1</v>
      </c>
      <c r="E31" s="169">
        <f>ROUND(E32/$C32,4)</f>
        <v>0</v>
      </c>
      <c r="F31" s="169">
        <f>ROUND(F32/$C32,4)</f>
        <v>0</v>
      </c>
    </row>
    <row r="32" spans="1:6" ht="12.75">
      <c r="A32" s="228"/>
      <c r="B32" s="228"/>
      <c r="C32" s="170">
        <f>VLOOKUP($A31,'Orçamento Sintético'!$A:$H,8,0)</f>
        <v>3816.01</v>
      </c>
      <c r="D32" s="170">
        <f>D34+D36+D38+D40+D42</f>
        <v>3816.01</v>
      </c>
      <c r="E32" s="170">
        <f>E34+E36+E38+E40+E42</f>
        <v>0</v>
      </c>
      <c r="F32" s="170">
        <f>F34+F36+F38+F40+F42</f>
        <v>0</v>
      </c>
    </row>
    <row r="33" spans="1:6" ht="12.75" customHeight="1">
      <c r="A33" s="229" t="s">
        <v>650</v>
      </c>
      <c r="B33" s="225" t="str">
        <f>VLOOKUP($A33,'Orçamento Sintético'!$A:$H,4,0)</f>
        <v>DEMOLIÇÃO DE RODAPÉ CERÂMICO, DE FORMA MANUAL, SEM REAPROVEITAMENTO. AF_12/2017</v>
      </c>
      <c r="C33" s="167">
        <f>ROUND(C34/$F$452,4)</f>
        <v>0.0005</v>
      </c>
      <c r="D33" s="171">
        <v>1</v>
      </c>
      <c r="E33" s="171"/>
      <c r="F33" s="171">
        <f>1-SUM(D33:E33)</f>
        <v>0</v>
      </c>
    </row>
    <row r="34" spans="1:6" ht="12.75" customHeight="1">
      <c r="A34" s="229"/>
      <c r="B34" s="226"/>
      <c r="C34" s="168">
        <f>VLOOKUP($A33,'Orçamento Sintético'!$A:$H,8,0)</f>
        <v>293.8</v>
      </c>
      <c r="D34" s="172">
        <f>ROUND($C34*D33,2)</f>
        <v>293.8</v>
      </c>
      <c r="E34" s="172">
        <f>ROUND($C34*E33,2)</f>
        <v>0</v>
      </c>
      <c r="F34" s="172">
        <f>C34-SUM(D34:E34)</f>
        <v>0</v>
      </c>
    </row>
    <row r="35" spans="1:6" ht="12.75">
      <c r="A35" s="229" t="s">
        <v>651</v>
      </c>
      <c r="B35" s="225" t="str">
        <f>VLOOKUP($A35,'Orçamento Sintético'!$A:$H,4,0)</f>
        <v>DEMOLIÇÃO DE REVESTIMENTO CERÂMICO, DE FORMA MECANIZADA COM MARTELETE, SEM REAPROVEITAMENTO. AF_12/2017</v>
      </c>
      <c r="C35" s="167">
        <f>ROUND(C36/$F$452,4)</f>
        <v>0.0047</v>
      </c>
      <c r="D35" s="171">
        <v>1</v>
      </c>
      <c r="E35" s="171"/>
      <c r="F35" s="171">
        <f>1-SUM(D35:E35)</f>
        <v>0</v>
      </c>
    </row>
    <row r="36" spans="1:6" ht="12.75">
      <c r="A36" s="229"/>
      <c r="B36" s="226"/>
      <c r="C36" s="168">
        <f>VLOOKUP($A35,'Orçamento Sintético'!$A:$H,8,0)</f>
        <v>2897.1</v>
      </c>
      <c r="D36" s="172">
        <f>ROUND($C36*D35,2)</f>
        <v>2897.1</v>
      </c>
      <c r="E36" s="172">
        <f>ROUND($C36*E35,2)</f>
        <v>0</v>
      </c>
      <c r="F36" s="172">
        <f>C36-SUM(D36:E36)</f>
        <v>0</v>
      </c>
    </row>
    <row r="37" spans="1:6" ht="12.75" customHeight="1">
      <c r="A37" s="229" t="s">
        <v>652</v>
      </c>
      <c r="B37" s="225" t="str">
        <f>VLOOKUP($A37,'Orçamento Sintético'!$A:$H,4,0)</f>
        <v>Copia da SIURB (175023) - DEMOLIÇÃO MECANIZADA DE CONCRETO ARMADO</v>
      </c>
      <c r="C37" s="167">
        <f>ROUND(C38/$F$452,4)</f>
        <v>0.0005</v>
      </c>
      <c r="D37" s="171">
        <v>1</v>
      </c>
      <c r="E37" s="171"/>
      <c r="F37" s="171">
        <f>1-SUM(D37:E37)</f>
        <v>0</v>
      </c>
    </row>
    <row r="38" spans="1:6" ht="12.75" customHeight="1">
      <c r="A38" s="229"/>
      <c r="B38" s="226"/>
      <c r="C38" s="168">
        <f>VLOOKUP($A37,'Orçamento Sintético'!$A:$H,8,0)</f>
        <v>329.69</v>
      </c>
      <c r="D38" s="172">
        <f>ROUND($C38*D37,2)</f>
        <v>329.69</v>
      </c>
      <c r="E38" s="172">
        <f>ROUND($C38*E37,2)</f>
        <v>0</v>
      </c>
      <c r="F38" s="172">
        <f>C38-SUM(D38:E38)</f>
        <v>0</v>
      </c>
    </row>
    <row r="39" spans="1:6" ht="12.75">
      <c r="A39" s="229" t="s">
        <v>653</v>
      </c>
      <c r="B39" s="225" t="str">
        <f>VLOOKUP($A39,'Orçamento Sintético'!$A:$H,4,0)</f>
        <v>DEMOLIÇÃO DE ALVENARIA DE BLOCO FURADO, DE FORMA MANUAL, SEM REAPROVEITAMENTO. AF_12/2017</v>
      </c>
      <c r="C39" s="167">
        <f>ROUND(C40/$F$452,4)</f>
        <v>0.0002</v>
      </c>
      <c r="D39" s="171">
        <v>1</v>
      </c>
      <c r="E39" s="171"/>
      <c r="F39" s="171">
        <f>1-SUM(D39:E39)</f>
        <v>0</v>
      </c>
    </row>
    <row r="40" spans="1:6" ht="12.75">
      <c r="A40" s="229"/>
      <c r="B40" s="226"/>
      <c r="C40" s="168">
        <f>VLOOKUP($A39,'Orçamento Sintético'!$A:$H,8,0)</f>
        <v>97.98</v>
      </c>
      <c r="D40" s="172">
        <f>ROUND($C40*D39,2)</f>
        <v>97.98</v>
      </c>
      <c r="E40" s="172">
        <f>ROUND($C40*E39,2)</f>
        <v>0</v>
      </c>
      <c r="F40" s="172">
        <f>C40-SUM(D40:E40)</f>
        <v>0</v>
      </c>
    </row>
    <row r="41" spans="1:6" ht="12.75" customHeight="1">
      <c r="A41" s="229" t="s">
        <v>654</v>
      </c>
      <c r="B41" s="225" t="str">
        <f>VLOOKUP($A41,'Orçamento Sintético'!$A:$H,4,0)</f>
        <v>RASGO EM ALVENARIA PARA RAMAIS/ DISTRIBUIÇÃO COM DIAMETROS MENORES OU IGUAIS A 40 MM. AF_05/2015</v>
      </c>
      <c r="C41" s="167">
        <f>ROUND(C42/$F$452,4)</f>
        <v>0.0003</v>
      </c>
      <c r="D41" s="171">
        <v>1</v>
      </c>
      <c r="E41" s="171"/>
      <c r="F41" s="171">
        <f>1-SUM(D41:E41)</f>
        <v>0</v>
      </c>
    </row>
    <row r="42" spans="1:6" ht="12.75" customHeight="1">
      <c r="A42" s="229"/>
      <c r="B42" s="226"/>
      <c r="C42" s="168">
        <f>VLOOKUP($A41,'Orçamento Sintético'!$A:$H,8,0)</f>
        <v>197.44</v>
      </c>
      <c r="D42" s="172">
        <f>ROUND($C42*D41,2)</f>
        <v>197.44</v>
      </c>
      <c r="E42" s="172">
        <f>ROUND($C42*E41,2)</f>
        <v>0</v>
      </c>
      <c r="F42" s="172">
        <f>C42-SUM(D42:E42)</f>
        <v>0</v>
      </c>
    </row>
    <row r="43" spans="1:6" ht="12.75">
      <c r="A43" s="227" t="s">
        <v>655</v>
      </c>
      <c r="B43" s="227" t="str">
        <f>VLOOKUP($A43,'Orçamento Sintético'!$A:$H,4,0)</f>
        <v>Remoções</v>
      </c>
      <c r="C43" s="169">
        <f>ROUND(C44/$F$452,4)</f>
        <v>0.014</v>
      </c>
      <c r="D43" s="169">
        <f>ROUND(D44/$C44,4)</f>
        <v>0.9552</v>
      </c>
      <c r="E43" s="169">
        <f>ROUND(E44/$C44,4)</f>
        <v>0</v>
      </c>
      <c r="F43" s="169">
        <f>ROUND(F44/$C44,4)</f>
        <v>0.0448</v>
      </c>
    </row>
    <row r="44" spans="1:6" ht="12.75">
      <c r="A44" s="228"/>
      <c r="B44" s="228"/>
      <c r="C44" s="170">
        <f>VLOOKUP($A43,'Orçamento Sintético'!$A:$H,8,0)</f>
        <v>8617.22</v>
      </c>
      <c r="D44" s="170">
        <f>D46+D48+D50+D52+D54+D56+D58+D60+D62+D64+D66+D68</f>
        <v>8230.76</v>
      </c>
      <c r="E44" s="170">
        <f>E46+E48+E50+E52+E54+E56+E58+E60+E62+E64+E66+E68</f>
        <v>0</v>
      </c>
      <c r="F44" s="170">
        <f>F46+F48+F50+F52+F54+F56+F58+F60+F62+F64+F66+F68</f>
        <v>386.46</v>
      </c>
    </row>
    <row r="45" spans="1:6" ht="12.75" customHeight="1">
      <c r="A45" s="229" t="s">
        <v>657</v>
      </c>
      <c r="B45" s="225" t="str">
        <f>VLOOKUP($A45,'Orçamento Sintético'!$A:$H,4,0)</f>
        <v>Copia da SINAPI (100717) - Retirada de laminado melamínico e lixamento manual de superfície</v>
      </c>
      <c r="C45" s="167">
        <f>ROUND(C46/$F$452,4)</f>
        <v>0.003</v>
      </c>
      <c r="D45" s="171">
        <v>1</v>
      </c>
      <c r="E45" s="171"/>
      <c r="F45" s="171">
        <f>1-SUM(D45:E45)</f>
        <v>0</v>
      </c>
    </row>
    <row r="46" spans="1:6" ht="12.75" customHeight="1">
      <c r="A46" s="229"/>
      <c r="B46" s="226"/>
      <c r="C46" s="168">
        <f>VLOOKUP($A45,'Orçamento Sintético'!$A:$H,8,0)</f>
        <v>1861.6</v>
      </c>
      <c r="D46" s="172">
        <f>ROUND($C46*D45,2)</f>
        <v>1861.6</v>
      </c>
      <c r="E46" s="172">
        <f>ROUND($C46*E45,2)</f>
        <v>0</v>
      </c>
      <c r="F46" s="172">
        <f>C46-SUM(D46:E46)</f>
        <v>0</v>
      </c>
    </row>
    <row r="47" spans="1:6" ht="12.75">
      <c r="A47" s="229" t="s">
        <v>660</v>
      </c>
      <c r="B47" s="225" t="str">
        <f>VLOOKUP($A47,'Orçamento Sintético'!$A:$H,4,0)</f>
        <v>Copia da SINAPI (85412) - REMOCAO DE RODAPE DE MARMORE OU GRANITO</v>
      </c>
      <c r="C47" s="167">
        <f>ROUND(C48/$F$452,4)</f>
        <v>0.0005</v>
      </c>
      <c r="D47" s="171">
        <v>1</v>
      </c>
      <c r="E47" s="171"/>
      <c r="F47" s="171">
        <f>1-SUM(D47:E47)</f>
        <v>0</v>
      </c>
    </row>
    <row r="48" spans="1:6" ht="12.75">
      <c r="A48" s="229"/>
      <c r="B48" s="226"/>
      <c r="C48" s="168">
        <f>VLOOKUP($A47,'Orçamento Sintético'!$A:$H,8,0)</f>
        <v>313.5</v>
      </c>
      <c r="D48" s="172">
        <f>ROUND($C48*D47,2)</f>
        <v>313.5</v>
      </c>
      <c r="E48" s="172">
        <f>ROUND($C48*E47,2)</f>
        <v>0</v>
      </c>
      <c r="F48" s="172">
        <f>C48-SUM(D48:E48)</f>
        <v>0</v>
      </c>
    </row>
    <row r="49" spans="1:6" ht="12.75" customHeight="1">
      <c r="A49" s="229" t="s">
        <v>663</v>
      </c>
      <c r="B49" s="225" t="str">
        <f>VLOOKUP($A49,'Orçamento Sintético'!$A:$H,4,0)</f>
        <v>REMOÇÃO DE LUMINÁRIAS, DE FORMA MANUAL, SEM REAPROVEITAMENTO. AF_12/2017</v>
      </c>
      <c r="C49" s="167">
        <f>ROUND(C50/$F$452,4)</f>
        <v>0</v>
      </c>
      <c r="D49" s="171">
        <v>1</v>
      </c>
      <c r="E49" s="171"/>
      <c r="F49" s="171">
        <f>1-SUM(D49:E49)</f>
        <v>0</v>
      </c>
    </row>
    <row r="50" spans="1:6" ht="12.75" customHeight="1">
      <c r="A50" s="229"/>
      <c r="B50" s="226"/>
      <c r="C50" s="168">
        <f>VLOOKUP($A49,'Orçamento Sintético'!$A:$H,8,0)</f>
        <v>14.56</v>
      </c>
      <c r="D50" s="172">
        <f>ROUND($C50*D49,2)</f>
        <v>14.56</v>
      </c>
      <c r="E50" s="172">
        <f>ROUND($C50*E49,2)</f>
        <v>0</v>
      </c>
      <c r="F50" s="172">
        <f>C50-SUM(D50:E50)</f>
        <v>0</v>
      </c>
    </row>
    <row r="51" spans="1:6" ht="12.75">
      <c r="A51" s="229" t="s">
        <v>664</v>
      </c>
      <c r="B51" s="225" t="str">
        <f>VLOOKUP($A51,'Orçamento Sintético'!$A:$H,4,0)</f>
        <v>REMOÇÃO DE PORTAS, DE FORMA MANUAL, SEM REAPROVEITAMENTO. AF_12/2017</v>
      </c>
      <c r="C51" s="167">
        <f>ROUND(C52/$F$452,4)</f>
        <v>0.0002</v>
      </c>
      <c r="D51" s="171">
        <v>1</v>
      </c>
      <c r="E51" s="171"/>
      <c r="F51" s="171">
        <f>1-SUM(D51:E51)</f>
        <v>0</v>
      </c>
    </row>
    <row r="52" spans="1:6" ht="12.75">
      <c r="A52" s="229"/>
      <c r="B52" s="226"/>
      <c r="C52" s="168">
        <f>VLOOKUP($A51,'Orçamento Sintético'!$A:$H,8,0)</f>
        <v>97.2</v>
      </c>
      <c r="D52" s="172">
        <f>ROUND($C52*D51,2)</f>
        <v>97.2</v>
      </c>
      <c r="E52" s="172">
        <f>ROUND($C52*E51,2)</f>
        <v>0</v>
      </c>
      <c r="F52" s="172">
        <f>C52-SUM(D52:E52)</f>
        <v>0</v>
      </c>
    </row>
    <row r="53" spans="1:6" ht="12.75" customHeight="1">
      <c r="A53" s="229" t="s">
        <v>665</v>
      </c>
      <c r="B53" s="225" t="str">
        <f>VLOOKUP($A53,'Orçamento Sintético'!$A:$H,4,0)</f>
        <v>Cópia da Iopes (010225) - Retirada de peças de granito - bancada, banca, balcão, prateleira</v>
      </c>
      <c r="C53" s="167">
        <f>ROUND(C54/$F$452,4)</f>
        <v>0.0003</v>
      </c>
      <c r="D53" s="171">
        <v>1</v>
      </c>
      <c r="E53" s="171"/>
      <c r="F53" s="171">
        <f>1-SUM(D53:E53)</f>
        <v>0</v>
      </c>
    </row>
    <row r="54" spans="1:6" ht="12.75" customHeight="1">
      <c r="A54" s="229"/>
      <c r="B54" s="226"/>
      <c r="C54" s="168">
        <f>VLOOKUP($A53,'Orçamento Sintético'!$A:$H,8,0)</f>
        <v>157.44</v>
      </c>
      <c r="D54" s="172">
        <f>ROUND($C54*D53,2)</f>
        <v>157.44</v>
      </c>
      <c r="E54" s="172">
        <f>ROUND($C54*E53,2)</f>
        <v>0</v>
      </c>
      <c r="F54" s="172">
        <f>C54-SUM(D54:E54)</f>
        <v>0</v>
      </c>
    </row>
    <row r="55" spans="1:6" ht="12.75">
      <c r="A55" s="229" t="s">
        <v>668</v>
      </c>
      <c r="B55" s="225" t="str">
        <f>VLOOKUP($A55,'Orçamento Sintético'!$A:$H,4,0)</f>
        <v>Copia da CPOS (04.09.080) - Retirada de batente, corrimão ou peças lineares metálicas, fixados</v>
      </c>
      <c r="C55" s="167">
        <f>ROUND(C56/$F$452,4)</f>
        <v>0.0013</v>
      </c>
      <c r="D55" s="171">
        <v>1</v>
      </c>
      <c r="E55" s="171"/>
      <c r="F55" s="171">
        <f>1-SUM(D55:E55)</f>
        <v>0</v>
      </c>
    </row>
    <row r="56" spans="1:6" ht="12.75">
      <c r="A56" s="229"/>
      <c r="B56" s="226"/>
      <c r="C56" s="168">
        <f>VLOOKUP($A55,'Orçamento Sintético'!$A:$H,8,0)</f>
        <v>789.6</v>
      </c>
      <c r="D56" s="172">
        <f>ROUND($C56*D55,2)</f>
        <v>789.6</v>
      </c>
      <c r="E56" s="172">
        <f>ROUND($C56*E55,2)</f>
        <v>0</v>
      </c>
      <c r="F56" s="172">
        <f>C56-SUM(D56:E56)</f>
        <v>0</v>
      </c>
    </row>
    <row r="57" spans="1:6" ht="12.75" customHeight="1">
      <c r="A57" s="229" t="s">
        <v>669</v>
      </c>
      <c r="B57" s="225" t="str">
        <f>VLOOKUP($A57,'Orçamento Sintético'!$A:$H,4,0)</f>
        <v>REMOÇÃO DE FORRO DE GESSO, DE FORMA MANUAL, SEM REAPROVEITAMENTO. AF_12/2017</v>
      </c>
      <c r="C57" s="167">
        <f>ROUND(C58/$F$452,4)</f>
        <v>0.0002</v>
      </c>
      <c r="D57" s="171">
        <v>1</v>
      </c>
      <c r="E57" s="171"/>
      <c r="F57" s="171">
        <f>1-SUM(D57:E57)</f>
        <v>0</v>
      </c>
    </row>
    <row r="58" spans="1:6" ht="12.75" customHeight="1">
      <c r="A58" s="229"/>
      <c r="B58" s="226"/>
      <c r="C58" s="168">
        <f>VLOOKUP($A57,'Orçamento Sintético'!$A:$H,8,0)</f>
        <v>96.36</v>
      </c>
      <c r="D58" s="172">
        <f>ROUND($C58*D57,2)</f>
        <v>96.36</v>
      </c>
      <c r="E58" s="172">
        <f>ROUND($C58*E57,2)</f>
        <v>0</v>
      </c>
      <c r="F58" s="172">
        <f>C58-SUM(D58:E58)</f>
        <v>0</v>
      </c>
    </row>
    <row r="59" spans="1:6" ht="12.75">
      <c r="A59" s="229" t="s">
        <v>670</v>
      </c>
      <c r="B59" s="225" t="str">
        <f>VLOOKUP($A59,'Orçamento Sintético'!$A:$H,4,0)</f>
        <v>Copia da SBC (022441) - REMOÇÃO DE DIVISÓRIAS SANITÁRIA DE MADEIRA</v>
      </c>
      <c r="C59" s="167">
        <f>ROUND(C60/$F$452,4)</f>
        <v>0.0011</v>
      </c>
      <c r="D59" s="171">
        <v>1</v>
      </c>
      <c r="E59" s="171"/>
      <c r="F59" s="171">
        <f>1-SUM(D59:E59)</f>
        <v>0</v>
      </c>
    </row>
    <row r="60" spans="1:6" ht="12.75">
      <c r="A60" s="229"/>
      <c r="B60" s="226"/>
      <c r="C60" s="168">
        <f>VLOOKUP($A59,'Orçamento Sintético'!$A:$H,8,0)</f>
        <v>701.19</v>
      </c>
      <c r="D60" s="172">
        <f>ROUND($C60*D59,2)</f>
        <v>701.19</v>
      </c>
      <c r="E60" s="172">
        <f>ROUND($C60*E59,2)</f>
        <v>0</v>
      </c>
      <c r="F60" s="172">
        <f>C60-SUM(D60:E60)</f>
        <v>0</v>
      </c>
    </row>
    <row r="61" spans="1:6" ht="12.75" customHeight="1">
      <c r="A61" s="229" t="s">
        <v>673</v>
      </c>
      <c r="B61" s="225" t="str">
        <f>VLOOKUP($A61,'Orçamento Sintético'!$A:$H,4,0)</f>
        <v>REMOÇÃO DE LOUÇAS, DE FORMA MANUAL, SEM REAPROVEITAMENTO. AF_12/2017</v>
      </c>
      <c r="C61" s="167">
        <f>ROUND(C62/$F$452,4)</f>
        <v>0.0005</v>
      </c>
      <c r="D61" s="171">
        <v>1</v>
      </c>
      <c r="E61" s="171"/>
      <c r="F61" s="171">
        <f>1-SUM(D61:E61)</f>
        <v>0</v>
      </c>
    </row>
    <row r="62" spans="1:6" ht="12.75" customHeight="1">
      <c r="A62" s="229"/>
      <c r="B62" s="226"/>
      <c r="C62" s="168">
        <f>VLOOKUP($A61,'Orçamento Sintético'!$A:$H,8,0)</f>
        <v>332.32</v>
      </c>
      <c r="D62" s="172">
        <f>ROUND($C62*D61,2)</f>
        <v>332.32</v>
      </c>
      <c r="E62" s="172">
        <f>ROUND($C62*E61,2)</f>
        <v>0</v>
      </c>
      <c r="F62" s="172">
        <f>C62-SUM(D62:E62)</f>
        <v>0</v>
      </c>
    </row>
    <row r="63" spans="1:6" ht="12.75">
      <c r="A63" s="229" t="s">
        <v>674</v>
      </c>
      <c r="B63" s="225" t="str">
        <f>VLOOKUP($A63,'Orçamento Sintético'!$A:$H,4,0)</f>
        <v>REMOÇÃO DE METAIS SANITÁRIOS, DE FORMA MANUAL, SEM REAPROVEITAMENTO. AF_12/2017</v>
      </c>
      <c r="C63" s="167">
        <f>ROUND(C64/$F$452,4)</f>
        <v>0.0006</v>
      </c>
      <c r="D63" s="171">
        <v>1</v>
      </c>
      <c r="E63" s="171"/>
      <c r="F63" s="171">
        <f>1-SUM(D63:E63)</f>
        <v>0</v>
      </c>
    </row>
    <row r="64" spans="1:6" ht="12.75">
      <c r="A64" s="229"/>
      <c r="B64" s="226"/>
      <c r="C64" s="168">
        <f>VLOOKUP($A63,'Orçamento Sintético'!$A:$H,8,0)</f>
        <v>398.31</v>
      </c>
      <c r="D64" s="172">
        <f>ROUND($C64*D63,2)</f>
        <v>398.31</v>
      </c>
      <c r="E64" s="172">
        <f>ROUND($C64*E63,2)</f>
        <v>0</v>
      </c>
      <c r="F64" s="172">
        <f>C64-SUM(D64:E64)</f>
        <v>0</v>
      </c>
    </row>
    <row r="65" spans="1:6" ht="12.75" customHeight="1">
      <c r="A65" s="229" t="s">
        <v>675</v>
      </c>
      <c r="B65" s="225" t="str">
        <f>VLOOKUP($A65,'Orçamento Sintético'!$A:$H,4,0)</f>
        <v>Baseado da SEDOP (091518) - Remoção cuidadosa de Pele de vidro, vidro e semelhantes, incluindo o mapeamento, proteção e estocagem adequada</v>
      </c>
      <c r="C65" s="167">
        <f>ROUND(C66/$F$452,4)</f>
        <v>0.0056</v>
      </c>
      <c r="D65" s="171">
        <v>1</v>
      </c>
      <c r="E65" s="171"/>
      <c r="F65" s="171">
        <f>1-SUM(D65:E65)</f>
        <v>0</v>
      </c>
    </row>
    <row r="66" spans="1:6" ht="12.75" customHeight="1">
      <c r="A66" s="229"/>
      <c r="B66" s="226"/>
      <c r="C66" s="168">
        <f>VLOOKUP($A65,'Orçamento Sintético'!$A:$H,8,0)</f>
        <v>3468.68</v>
      </c>
      <c r="D66" s="172">
        <f>ROUND($C66*D65,2)</f>
        <v>3468.68</v>
      </c>
      <c r="E66" s="172">
        <f>ROUND($C66*E65,2)</f>
        <v>0</v>
      </c>
      <c r="F66" s="172">
        <f>C66-SUM(D66:E66)</f>
        <v>0</v>
      </c>
    </row>
    <row r="67" spans="1:6" ht="12.75">
      <c r="A67" s="229" t="s">
        <v>678</v>
      </c>
      <c r="B67" s="225" t="str">
        <f>VLOOKUP($A67,'Orçamento Sintético'!$A:$H,4,0)</f>
        <v>REMOÇÃO DE TAPUME/ CHAPAS METÁLICAS E DE MADEIRA, DE FORMA MANUAL, SEM REAPROVEITAMENTO. AF_12/2017</v>
      </c>
      <c r="C67" s="167">
        <f>ROUND(C68/$F$452,4)</f>
        <v>0.0006</v>
      </c>
      <c r="D67" s="171"/>
      <c r="E67" s="171"/>
      <c r="F67" s="171">
        <f>1-SUM(D67:E67)</f>
        <v>1</v>
      </c>
    </row>
    <row r="68" spans="1:6" ht="12.75">
      <c r="A68" s="229"/>
      <c r="B68" s="226"/>
      <c r="C68" s="168">
        <f>VLOOKUP($A67,'Orçamento Sintético'!$A:$H,8,0)</f>
        <v>386.46</v>
      </c>
      <c r="D68" s="172">
        <f>ROUND($C68*D67,2)</f>
        <v>0</v>
      </c>
      <c r="E68" s="172">
        <f>ROUND($C68*E67,2)</f>
        <v>0</v>
      </c>
      <c r="F68" s="172">
        <f>C68-SUM(D68:E68)</f>
        <v>386.46</v>
      </c>
    </row>
    <row r="69" spans="1:6" ht="12.75" customHeight="1">
      <c r="A69" s="238" t="s">
        <v>124</v>
      </c>
      <c r="B69" s="235" t="str">
        <f>VLOOKUP($A69,'Orçamento Sintético'!$A:$H,4,0)</f>
        <v>ARQUITETURA E ELEMENTOS DE URBANISMO</v>
      </c>
      <c r="C69" s="161">
        <f>ROUND(C70/$F$452,4)</f>
        <v>0.7608</v>
      </c>
      <c r="D69" s="162">
        <f>ROUND(D70/$C70,4)</f>
        <v>0.228</v>
      </c>
      <c r="E69" s="162">
        <f>ROUND(E70/$C70,4)</f>
        <v>0.3088</v>
      </c>
      <c r="F69" s="162">
        <f>ROUND(F70/$C70,4)</f>
        <v>0.4631</v>
      </c>
    </row>
    <row r="70" spans="1:6" ht="12.75" customHeight="1">
      <c r="A70" s="238"/>
      <c r="B70" s="235"/>
      <c r="C70" s="163">
        <f>VLOOKUP($A69,'Orçamento Sintético'!$A:$H,8,0)</f>
        <v>467181.43</v>
      </c>
      <c r="D70" s="164">
        <f>D72</f>
        <v>106526.22000000002</v>
      </c>
      <c r="E70" s="164">
        <f>E72</f>
        <v>144287.08</v>
      </c>
      <c r="F70" s="164">
        <f>F72</f>
        <v>216368.13</v>
      </c>
    </row>
    <row r="71" spans="1:6" ht="12.75">
      <c r="A71" s="227" t="s">
        <v>679</v>
      </c>
      <c r="B71" s="227" t="str">
        <f>VLOOKUP($A71,'Orçamento Sintético'!$A:$H,4,0)</f>
        <v>ARQUITETURA</v>
      </c>
      <c r="C71" s="165">
        <f>ROUND(C72/$F$452,4)</f>
        <v>0.7608</v>
      </c>
      <c r="D71" s="165">
        <f>ROUND(D72/$C72,4)</f>
        <v>0.228</v>
      </c>
      <c r="E71" s="165">
        <f>ROUND(E72/$C72,4)</f>
        <v>0.3088</v>
      </c>
      <c r="F71" s="165">
        <f>ROUND(F72/$C72,4)</f>
        <v>0.4631</v>
      </c>
    </row>
    <row r="72" spans="1:6" ht="12.75">
      <c r="A72" s="228"/>
      <c r="B72" s="228"/>
      <c r="C72" s="166">
        <f>VLOOKUP($A71,'Orçamento Sintético'!$A:$H,8,0)</f>
        <v>467181.43</v>
      </c>
      <c r="D72" s="166">
        <f>D74+D84+D94+D102+D124+D144+D150+D168+D172+D180+D188+D250</f>
        <v>106526.22000000002</v>
      </c>
      <c r="E72" s="166">
        <f>E74+E84+E94+E102+E124+E144+E150+E168+E172+E180+E188+E250</f>
        <v>144287.08</v>
      </c>
      <c r="F72" s="166">
        <f>F74+F84+F94+F102+F124+F144+F150+F168+F172+F180+F188+F250</f>
        <v>216368.13</v>
      </c>
    </row>
    <row r="73" spans="1:6" ht="12.75" customHeight="1">
      <c r="A73" s="227" t="s">
        <v>680</v>
      </c>
      <c r="B73" s="227" t="str">
        <f>VLOOKUP($A73,'Orçamento Sintético'!$A:$H,4,0)</f>
        <v>Paredes</v>
      </c>
      <c r="C73" s="169">
        <f>ROUND(C74/$F$452,4)</f>
        <v>0.2296</v>
      </c>
      <c r="D73" s="169">
        <f>ROUND(D74/$C74,4)</f>
        <v>0.3352</v>
      </c>
      <c r="E73" s="169">
        <f>ROUND(E74/$C74,4)</f>
        <v>0.3374</v>
      </c>
      <c r="F73" s="169">
        <f>ROUND(F74/$C74,4)</f>
        <v>0.3274</v>
      </c>
    </row>
    <row r="74" spans="1:6" ht="12.75" customHeight="1">
      <c r="A74" s="228"/>
      <c r="B74" s="228"/>
      <c r="C74" s="170">
        <f>VLOOKUP($A73,'Orçamento Sintético'!$A:$H,8,0)</f>
        <v>140993.43</v>
      </c>
      <c r="D74" s="170">
        <f>D76+D78+D80+D82</f>
        <v>47263.78</v>
      </c>
      <c r="E74" s="170">
        <f>E76+E78+E80+E82</f>
        <v>47564.3</v>
      </c>
      <c r="F74" s="170">
        <f>F76+F78+F80+F82</f>
        <v>46165.350000000006</v>
      </c>
    </row>
    <row r="75" spans="1:6" ht="24.75" customHeight="1">
      <c r="A75" s="229" t="s">
        <v>682</v>
      </c>
      <c r="B75" s="225" t="str">
        <f>VLOOKUP($A75,'Orçamento Sintético'!$A:$H,4,0)</f>
        <v>ALVENARIA DE VEDAÇÃO DE BLOCOS CERÂMICOS FURADOS NA HORIZONTAL DE 9X14X19CM (ESPESSURA 9CM) DE PAREDES COM ÁREA LÍQUIDA MENOR QUE 6M² COM VÃOS E ARGAMASSA DE ASSENTAMENTO COM PREPARO EM BETONEIRA. AF_06/2014</v>
      </c>
      <c r="C75" s="167">
        <f>ROUND(C76/$F$452,4)</f>
        <v>0.0013</v>
      </c>
      <c r="D75" s="171">
        <v>1</v>
      </c>
      <c r="E75" s="171"/>
      <c r="F75" s="171">
        <f>1-SUM(D75:E75)</f>
        <v>0</v>
      </c>
    </row>
    <row r="76" spans="1:6" ht="24.75" customHeight="1">
      <c r="A76" s="229"/>
      <c r="B76" s="226"/>
      <c r="C76" s="168">
        <f>VLOOKUP($A75,'Orçamento Sintético'!$A:$H,8,0)</f>
        <v>822.22</v>
      </c>
      <c r="D76" s="172">
        <f>ROUND($C76*D75,2)</f>
        <v>822.22</v>
      </c>
      <c r="E76" s="172">
        <f>ROUND($C76*E75,2)</f>
        <v>0</v>
      </c>
      <c r="F76" s="172">
        <f>C76-SUM(D76:E76)</f>
        <v>0</v>
      </c>
    </row>
    <row r="77" spans="1:6" ht="18" customHeight="1">
      <c r="A77" s="229" t="s">
        <v>683</v>
      </c>
      <c r="B77" s="225" t="str">
        <f>VLOOKUP($A77,'Orçamento Sintético'!$A:$H,4,0)</f>
        <v>Divisória sanitários e vestiários em laminado estrutural TS (maciço), branco, com e = 10 mm, dupla face decorativa texturizada, modelo Alcoplac Normatizado, fab. Neocom incluindo portas e conjunto de ferragens</v>
      </c>
      <c r="C77" s="167">
        <f>ROUND(C78/$F$452,4)</f>
        <v>0.2278</v>
      </c>
      <c r="D77" s="171">
        <v>0.33</v>
      </c>
      <c r="E77" s="171">
        <v>0.34</v>
      </c>
      <c r="F77" s="171">
        <f>1-SUM(D77:E77)</f>
        <v>0.32999999999999996</v>
      </c>
    </row>
    <row r="78" spans="1:6" ht="18" customHeight="1">
      <c r="A78" s="229"/>
      <c r="B78" s="226"/>
      <c r="C78" s="168">
        <f>VLOOKUP($A77,'Orçamento Sintético'!$A:$H,8,0)</f>
        <v>139895</v>
      </c>
      <c r="D78" s="172">
        <f>ROUND($C78*D77,2)</f>
        <v>46165.35</v>
      </c>
      <c r="E78" s="172">
        <f>ROUND($C78*E77,2)</f>
        <v>47564.3</v>
      </c>
      <c r="F78" s="172">
        <f>C78-SUM(D78:E78)</f>
        <v>46165.350000000006</v>
      </c>
    </row>
    <row r="79" spans="1:6" ht="12.75">
      <c r="A79" s="229" t="s">
        <v>686</v>
      </c>
      <c r="B79" s="225" t="str">
        <f>VLOOKUP($A79,'Orçamento Sintético'!$A:$H,4,0)</f>
        <v>FIXAÇÃO (ENCUNHAMENTO) DE ALVENARIA DE VEDAÇÃO COM TIJOLO MACIÇO. AF_03/2016</v>
      </c>
      <c r="C79" s="167">
        <f>ROUND(C80/$F$452,4)</f>
        <v>0.0001</v>
      </c>
      <c r="D79" s="171">
        <v>1</v>
      </c>
      <c r="E79" s="171"/>
      <c r="F79" s="171">
        <f>1-SUM(D79:E79)</f>
        <v>0</v>
      </c>
    </row>
    <row r="80" spans="1:6" ht="12.75">
      <c r="A80" s="229"/>
      <c r="B80" s="226"/>
      <c r="C80" s="168">
        <f>VLOOKUP($A79,'Orçamento Sintético'!$A:$H,8,0)</f>
        <v>76.53</v>
      </c>
      <c r="D80" s="172">
        <f>ROUND($C80*D79,2)</f>
        <v>76.53</v>
      </c>
      <c r="E80" s="172">
        <f>ROUND($C80*E79,2)</f>
        <v>0</v>
      </c>
      <c r="F80" s="172">
        <f>C80-SUM(D80:E80)</f>
        <v>0</v>
      </c>
    </row>
    <row r="81" spans="1:6" ht="12.75" customHeight="1">
      <c r="A81" s="229" t="s">
        <v>687</v>
      </c>
      <c r="B81" s="225" t="str">
        <f>VLOOKUP($A81,'Orçamento Sintético'!$A:$H,4,0)</f>
        <v>CHUMBAMENTO LINEAR EM ALVENARIA PARA RAMAIS/DISTRIBUIÇÃO COM DIÂMETROS MENORES OU IGUAIS A 40 MM. AF_05/2015</v>
      </c>
      <c r="C81" s="167">
        <f>ROUND(C82/$F$452,4)</f>
        <v>0.0003</v>
      </c>
      <c r="D81" s="171">
        <v>1</v>
      </c>
      <c r="E81" s="171"/>
      <c r="F81" s="171">
        <f>1-SUM(D81:E81)</f>
        <v>0</v>
      </c>
    </row>
    <row r="82" spans="1:6" ht="12.75" customHeight="1">
      <c r="A82" s="229"/>
      <c r="B82" s="226"/>
      <c r="C82" s="168">
        <f>VLOOKUP($A81,'Orçamento Sintético'!$A:$H,8,0)</f>
        <v>199.68</v>
      </c>
      <c r="D82" s="172">
        <f>ROUND($C82*D81,2)</f>
        <v>199.68</v>
      </c>
      <c r="E82" s="172">
        <f>ROUND($C82*E81,2)</f>
        <v>0</v>
      </c>
      <c r="F82" s="172">
        <f>C82-SUM(D82:E82)</f>
        <v>0</v>
      </c>
    </row>
    <row r="83" spans="1:6" ht="12.75">
      <c r="A83" s="227" t="s">
        <v>688</v>
      </c>
      <c r="B83" s="227" t="str">
        <f>VLOOKUP($A83,'Orçamento Sintético'!$A:$H,4,0)</f>
        <v>Esquadria de madeira</v>
      </c>
      <c r="C83" s="169">
        <f>ROUND(C84/$F$452,4)</f>
        <v>0.0587</v>
      </c>
      <c r="D83" s="169">
        <f>ROUND(D84/$C84,4)</f>
        <v>0.2147</v>
      </c>
      <c r="E83" s="169">
        <f>ROUND(E84/$C84,4)</f>
        <v>0.0246</v>
      </c>
      <c r="F83" s="169">
        <f>ROUND(F84/$C84,4)</f>
        <v>0.7607</v>
      </c>
    </row>
    <row r="84" spans="1:6" ht="12.75">
      <c r="A84" s="228"/>
      <c r="B84" s="228"/>
      <c r="C84" s="170">
        <f>VLOOKUP($A83,'Orçamento Sintético'!$A:$H,8,0)</f>
        <v>36049.51</v>
      </c>
      <c r="D84" s="170">
        <f>D86+D88+D90+D92</f>
        <v>7741.549999999999</v>
      </c>
      <c r="E84" s="170">
        <f>E86+E88+E90+E92</f>
        <v>886.08</v>
      </c>
      <c r="F84" s="170">
        <f>F86+F88+F90+F92</f>
        <v>27421.880000000005</v>
      </c>
    </row>
    <row r="85" spans="1:6" ht="12.75" customHeight="1">
      <c r="A85" s="229" t="s">
        <v>690</v>
      </c>
      <c r="B85" s="225" t="str">
        <f>VLOOKUP($A85,'Orçamento Sintético'!$A:$H,4,0)</f>
        <v>Porta de madeira (PM), DM 0,90 x 2,10 m, acabamento em laminado melamínico texturizado, inclusive dobradiça, fechadura, barra de apoio e grelha 525x325mm</v>
      </c>
      <c r="C85" s="167">
        <f>ROUND(C86/$F$452,4)</f>
        <v>0.0103</v>
      </c>
      <c r="D85" s="171">
        <v>0.2</v>
      </c>
      <c r="E85" s="171"/>
      <c r="F85" s="171">
        <f>1-SUM(D85:E85)</f>
        <v>0.8</v>
      </c>
    </row>
    <row r="86" spans="1:6" ht="12.75" customHeight="1">
      <c r="A86" s="229"/>
      <c r="B86" s="226"/>
      <c r="C86" s="168">
        <f>VLOOKUP($A85,'Orçamento Sintético'!$A:$H,8,0)</f>
        <v>6341.76</v>
      </c>
      <c r="D86" s="172">
        <f>ROUND($C86*D85,2)</f>
        <v>1268.35</v>
      </c>
      <c r="E86" s="172">
        <f>ROUND($C86*E85,2)</f>
        <v>0</v>
      </c>
      <c r="F86" s="172">
        <f>C86-SUM(D86:E86)</f>
        <v>5073.41</v>
      </c>
    </row>
    <row r="87" spans="1:6" ht="12.75">
      <c r="A87" s="229" t="s">
        <v>693</v>
      </c>
      <c r="B87" s="225" t="str">
        <f>VLOOKUP($A87,'Orçamento Sintético'!$A:$H,4,0)</f>
        <v>Porta de madeira (PM), DM 0,80 x 2,10 m, acabamento em laminado melamínico texturizado, inclusive dobradiça, fechadura e grelha 525x325mm</v>
      </c>
      <c r="C87" s="167">
        <f>ROUND(C88/$F$452,4)</f>
        <v>0.0359</v>
      </c>
      <c r="D87" s="171">
        <v>0.2</v>
      </c>
      <c r="E87" s="171"/>
      <c r="F87" s="171">
        <f>1-SUM(D87:E87)</f>
        <v>0.8</v>
      </c>
    </row>
    <row r="88" spans="1:6" ht="12.75">
      <c r="A88" s="229"/>
      <c r="B88" s="226"/>
      <c r="C88" s="168">
        <f>VLOOKUP($A87,'Orçamento Sintético'!$A:$H,8,0)</f>
        <v>22075.24</v>
      </c>
      <c r="D88" s="172">
        <f>ROUND($C88*D87,2)</f>
        <v>4415.05</v>
      </c>
      <c r="E88" s="172">
        <f>ROUND($C88*E87,2)</f>
        <v>0</v>
      </c>
      <c r="F88" s="172">
        <f>C88-SUM(D88:E88)</f>
        <v>17660.190000000002</v>
      </c>
    </row>
    <row r="89" spans="1:6" ht="12.75" customHeight="1">
      <c r="A89" s="229" t="s">
        <v>696</v>
      </c>
      <c r="B89" s="225" t="str">
        <f>VLOOKUP($A89,'Orçamento Sintético'!$A:$H,4,0)</f>
        <v>Porta de madeira (PM1), DM 1,60 x 2,10 m, acabamento em laminado melamínico texturizado, inclusive dobradiça e fechadura</v>
      </c>
      <c r="C89" s="167">
        <f>ROUND(C90/$F$452,4)</f>
        <v>0.0095</v>
      </c>
      <c r="D89" s="171">
        <v>0.2</v>
      </c>
      <c r="E89" s="171"/>
      <c r="F89" s="171">
        <f>1-SUM(D89:E89)</f>
        <v>0.8</v>
      </c>
    </row>
    <row r="90" spans="1:6" ht="12.75" customHeight="1">
      <c r="A90" s="229"/>
      <c r="B90" s="226"/>
      <c r="C90" s="168">
        <f>VLOOKUP($A89,'Orçamento Sintético'!$A:$H,8,0)</f>
        <v>5860.36</v>
      </c>
      <c r="D90" s="172">
        <f>ROUND($C90*D89,2)</f>
        <v>1172.07</v>
      </c>
      <c r="E90" s="172">
        <f>ROUND($C90*E89,2)</f>
        <v>0</v>
      </c>
      <c r="F90" s="172">
        <f>C90-SUM(D90:E90)</f>
        <v>4688.29</v>
      </c>
    </row>
    <row r="91" spans="1:6" ht="18" customHeight="1">
      <c r="A91" s="229" t="s">
        <v>1</v>
      </c>
      <c r="B91" s="225" t="str">
        <f>VLOOKUP($A91,'Orçamento Sintético'!$A:$H,4,0)</f>
        <v>Portal / batente em chapa de aço carbono SAE 1006/1010, nº 16, dobrada conforme projeto, incluso tratamento com anticorrosivo e  pintura esmalte, Largura até 90cm, inclusive</v>
      </c>
      <c r="C91" s="167">
        <f>ROUND(C92/$F$452,4)</f>
        <v>0.0029</v>
      </c>
      <c r="D91" s="171">
        <v>0.5</v>
      </c>
      <c r="E91" s="171">
        <v>0.5</v>
      </c>
      <c r="F91" s="171">
        <f>1-SUM(D91:E91)</f>
        <v>0</v>
      </c>
    </row>
    <row r="92" spans="1:6" ht="18" customHeight="1">
      <c r="A92" s="229"/>
      <c r="B92" s="226"/>
      <c r="C92" s="168">
        <f>VLOOKUP($A91,'Orçamento Sintético'!$A:$H,8,0)</f>
        <v>1772.15</v>
      </c>
      <c r="D92" s="172">
        <f>ROUND($C92*D91,2)</f>
        <v>886.08</v>
      </c>
      <c r="E92" s="172">
        <f>ROUND($C92*E91,2)</f>
        <v>886.08</v>
      </c>
      <c r="F92" s="172">
        <f>C92-SUM(D92:E92)</f>
        <v>-0.009999999999990905</v>
      </c>
    </row>
    <row r="93" spans="1:6" ht="12.75" customHeight="1">
      <c r="A93" s="227" t="s">
        <v>4</v>
      </c>
      <c r="B93" s="227" t="str">
        <f>VLOOKUP($A93,'Orçamento Sintético'!$A:$H,4,0)</f>
        <v>Vidros e Plásticos</v>
      </c>
      <c r="C93" s="169">
        <f>ROUND(C94/$F$452,4)</f>
        <v>0.0226</v>
      </c>
      <c r="D93" s="169">
        <f>ROUND(D94/$C94,4)</f>
        <v>0</v>
      </c>
      <c r="E93" s="169">
        <f>ROUND(E94/$C94,4)</f>
        <v>0</v>
      </c>
      <c r="F93" s="169">
        <f>ROUND(F94/$C94,4)</f>
        <v>1</v>
      </c>
    </row>
    <row r="94" spans="1:6" ht="12.75" customHeight="1">
      <c r="A94" s="228"/>
      <c r="B94" s="228"/>
      <c r="C94" s="170">
        <f>VLOOKUP($A93,'Orçamento Sintético'!$A:$H,8,0)</f>
        <v>13861.17</v>
      </c>
      <c r="D94" s="170">
        <f>D96+D98+D100</f>
        <v>0</v>
      </c>
      <c r="E94" s="170">
        <f>E96+E98+E100</f>
        <v>0</v>
      </c>
      <c r="F94" s="170">
        <f>F96+F98+F100</f>
        <v>13861.17</v>
      </c>
    </row>
    <row r="95" spans="1:6" ht="12.75">
      <c r="A95" s="229" t="s">
        <v>6</v>
      </c>
      <c r="B95" s="225" t="str">
        <f>VLOOKUP($A95,'Orçamento Sintético'!$A:$H,4,0)</f>
        <v>Cópia da Agesul (1801000120) - Espelho cristal 4mm, sem moldura fixado com parafuso e bucha</v>
      </c>
      <c r="C95" s="167">
        <f>ROUND(C96/$F$452,4)</f>
        <v>0.0156</v>
      </c>
      <c r="D95" s="171"/>
      <c r="E95" s="171"/>
      <c r="F95" s="171">
        <f>1-SUM(D95:E95)</f>
        <v>1</v>
      </c>
    </row>
    <row r="96" spans="1:6" ht="12.75">
      <c r="A96" s="229"/>
      <c r="B96" s="226"/>
      <c r="C96" s="168">
        <f>VLOOKUP($A95,'Orçamento Sintético'!$A:$H,8,0)</f>
        <v>9589.43</v>
      </c>
      <c r="D96" s="172">
        <f>ROUND($C96*D95,2)</f>
        <v>0</v>
      </c>
      <c r="E96" s="172">
        <f>ROUND($C96*E95,2)</f>
        <v>0</v>
      </c>
      <c r="F96" s="172">
        <f>C96-SUM(D96:E96)</f>
        <v>9589.43</v>
      </c>
    </row>
    <row r="97" spans="1:6" ht="12.75" customHeight="1">
      <c r="A97" s="229" t="s">
        <v>9</v>
      </c>
      <c r="B97" s="225" t="str">
        <f>VLOOKUP($A97,'Orçamento Sintético'!$A:$H,4,0)</f>
        <v>INSTALAÇÃO DE VIDRO TEMPERADO, E = 10 MM, ENCAIXADO EM PERFIL U. AF_01/2021_P</v>
      </c>
      <c r="C97" s="167">
        <f>ROUND(C98/$F$452,4)</f>
        <v>0.0058</v>
      </c>
      <c r="D97" s="171"/>
      <c r="E97" s="171"/>
      <c r="F97" s="171">
        <f>1-SUM(D97:E97)</f>
        <v>1</v>
      </c>
    </row>
    <row r="98" spans="1:6" ht="12.75" customHeight="1">
      <c r="A98" s="229"/>
      <c r="B98" s="226"/>
      <c r="C98" s="168">
        <f>VLOOKUP($A97,'Orçamento Sintético'!$A:$H,8,0)</f>
        <v>3561.14</v>
      </c>
      <c r="D98" s="172">
        <f>ROUND($C98*D97,2)</f>
        <v>0</v>
      </c>
      <c r="E98" s="172">
        <f>ROUND($C98*E97,2)</f>
        <v>0</v>
      </c>
      <c r="F98" s="172">
        <f>C98-SUM(D98:E98)</f>
        <v>3561.14</v>
      </c>
    </row>
    <row r="99" spans="1:6" ht="12.75">
      <c r="A99" s="229" t="s">
        <v>10</v>
      </c>
      <c r="B99" s="225" t="str">
        <f>VLOOKUP($A99,'Orçamento Sintético'!$A:$H,4,0)</f>
        <v>Copia da SINAPI (72120) - Recolocação de vidro laminado / temperado, inclusive massa / silicone</v>
      </c>
      <c r="C99" s="167">
        <f>ROUND(C100/$F$452,4)</f>
        <v>0.0012</v>
      </c>
      <c r="D99" s="171"/>
      <c r="E99" s="171"/>
      <c r="F99" s="171">
        <f>1-SUM(D99:E99)</f>
        <v>1</v>
      </c>
    </row>
    <row r="100" spans="1:6" ht="12.75">
      <c r="A100" s="229"/>
      <c r="B100" s="226"/>
      <c r="C100" s="168">
        <f>VLOOKUP($A99,'Orçamento Sintético'!$A:$H,8,0)</f>
        <v>710.6</v>
      </c>
      <c r="D100" s="172">
        <f>ROUND($C100*D99,2)</f>
        <v>0</v>
      </c>
      <c r="E100" s="172">
        <f>ROUND($C100*E99,2)</f>
        <v>0</v>
      </c>
      <c r="F100" s="172">
        <f>C100-SUM(D100:E100)</f>
        <v>710.6</v>
      </c>
    </row>
    <row r="101" spans="1:6" ht="12.75" customHeight="1">
      <c r="A101" s="227" t="s">
        <v>13</v>
      </c>
      <c r="B101" s="227" t="str">
        <f>VLOOKUP($A101,'Orçamento Sintético'!$A:$H,4,0)</f>
        <v>Revestimentos de pisos</v>
      </c>
      <c r="C101" s="169">
        <f>ROUND(C102/$F$452,4)</f>
        <v>0.0571</v>
      </c>
      <c r="D101" s="169">
        <f>ROUND(D102/$C102,4)</f>
        <v>0.5577</v>
      </c>
      <c r="E101" s="169">
        <f>ROUND(E102/$C102,4)</f>
        <v>0.4423</v>
      </c>
      <c r="F101" s="169">
        <f>ROUND(F102/$C102,4)</f>
        <v>0</v>
      </c>
    </row>
    <row r="102" spans="1:6" ht="12.75" customHeight="1">
      <c r="A102" s="228"/>
      <c r="B102" s="228"/>
      <c r="C102" s="170">
        <f>VLOOKUP($A101,'Orçamento Sintético'!$A:$H,8,0)</f>
        <v>35086.85</v>
      </c>
      <c r="D102" s="170">
        <f>D104+D106+D108+D110+D112+D114+D116+D118+D120+D122</f>
        <v>19569.04</v>
      </c>
      <c r="E102" s="170">
        <f>E104+E106+E108+E110+E112+E114+E116+E118+E120+E122</f>
        <v>15517.809999999998</v>
      </c>
      <c r="F102" s="170">
        <f>F104+F106+F108+F110+F112+F114+F116+F118+F120+F122</f>
        <v>0</v>
      </c>
    </row>
    <row r="103" spans="1:6" ht="12.75">
      <c r="A103" s="229" t="s">
        <v>15</v>
      </c>
      <c r="B103" s="225" t="str">
        <f>VLOOKUP($A103,'Orçamento Sintético'!$A:$H,4,0)</f>
        <v>Copia da SINAPI (87640) - Regularização / preparação de superfície horizontal com argamassa, traço 1:3 (cimento e areia), preparo mecânico, espessura média 4cm</v>
      </c>
      <c r="C103" s="167">
        <f>ROUND(C104/$F$452,4)</f>
        <v>0.0239</v>
      </c>
      <c r="D103" s="171">
        <v>1</v>
      </c>
      <c r="E103" s="171"/>
      <c r="F103" s="171">
        <f>1-SUM(D103:E103)</f>
        <v>0</v>
      </c>
    </row>
    <row r="104" spans="1:6" ht="12.75">
      <c r="A104" s="229"/>
      <c r="B104" s="226"/>
      <c r="C104" s="168">
        <f>VLOOKUP($A103,'Orçamento Sintético'!$A:$H,8,0)</f>
        <v>14668.6</v>
      </c>
      <c r="D104" s="172">
        <f>ROUND($C104*D103,2)</f>
        <v>14668.6</v>
      </c>
      <c r="E104" s="172">
        <f>ROUND($C104*E103,2)</f>
        <v>0</v>
      </c>
      <c r="F104" s="172">
        <f>C104-SUM(D104:E104)</f>
        <v>0</v>
      </c>
    </row>
    <row r="105" spans="1:6" ht="12.75">
      <c r="A105" s="229" t="s">
        <v>18</v>
      </c>
      <c r="B105" s="225" t="str">
        <f>VLOOKUP($A105,'Orçamento Sintético'!$A:$H,4,0)</f>
        <v>Sóculo sob bancadas das copas, sanitários e lixo, altura de 15 cm e profundidade de 60 cm</v>
      </c>
      <c r="C105" s="167">
        <f>ROUND(C106/$F$452,4)</f>
        <v>0.0004</v>
      </c>
      <c r="D105" s="171">
        <v>1</v>
      </c>
      <c r="E105" s="171"/>
      <c r="F105" s="171">
        <f>1-SUM(D105:E105)</f>
        <v>0</v>
      </c>
    </row>
    <row r="106" spans="1:6" ht="12.75">
      <c r="A106" s="229"/>
      <c r="B106" s="226"/>
      <c r="C106" s="168">
        <f>VLOOKUP($A105,'Orçamento Sintético'!$A:$H,8,0)</f>
        <v>217.14</v>
      </c>
      <c r="D106" s="172">
        <f>ROUND($C106*D105,2)</f>
        <v>217.14</v>
      </c>
      <c r="E106" s="172">
        <f>ROUND($C106*E105,2)</f>
        <v>0</v>
      </c>
      <c r="F106" s="172">
        <f>C106-SUM(D106:E106)</f>
        <v>0</v>
      </c>
    </row>
    <row r="107" spans="1:6" ht="12.75">
      <c r="A107" s="229" t="s">
        <v>21</v>
      </c>
      <c r="B107" s="225" t="str">
        <f>VLOOKUP($A107,'Orçamento Sintético'!$A:$H,4,0)</f>
        <v>Cóipa SINAPI (72183+72137) - Piso em concreto estrutural de 25MPa, acabamento desempenado, espessura de 10cm, armado com tela soldada Q196 barra 5mm</v>
      </c>
      <c r="C107" s="167">
        <f>ROUND(C108/$F$452,4)</f>
        <v>0.0008</v>
      </c>
      <c r="D107" s="171">
        <v>0.3</v>
      </c>
      <c r="E107" s="171">
        <v>0.7</v>
      </c>
      <c r="F107" s="171">
        <f>1-SUM(D107:E107)</f>
        <v>0</v>
      </c>
    </row>
    <row r="108" spans="1:6" ht="12.75">
      <c r="A108" s="229"/>
      <c r="B108" s="226"/>
      <c r="C108" s="168">
        <f>VLOOKUP($A107,'Orçamento Sintético'!$A:$H,8,0)</f>
        <v>465.99</v>
      </c>
      <c r="D108" s="172">
        <f>ROUND($C108*D107,2)</f>
        <v>139.8</v>
      </c>
      <c r="E108" s="172">
        <f>ROUND($C108*E107,2)</f>
        <v>326.19</v>
      </c>
      <c r="F108" s="172">
        <f>C108-SUM(D108:E108)</f>
        <v>0</v>
      </c>
    </row>
    <row r="109" spans="1:6" ht="12.75">
      <c r="A109" s="229" t="s">
        <v>24</v>
      </c>
      <c r="B109" s="225" t="str">
        <f>VLOOKUP($A109,'Orçamento Sintético'!$A:$H,4,0)</f>
        <v>LASTRO DE CONCRETO MAGRO, APLICADO EM PISOS, LAJES SOBRE SOLO OU RADIERS, ESPESSURA DE 5 CM. AF_07/2016</v>
      </c>
      <c r="C109" s="167">
        <f>ROUND(C110/$F$452,4)</f>
        <v>0.0002</v>
      </c>
      <c r="D109" s="171">
        <v>1</v>
      </c>
      <c r="E109" s="171"/>
      <c r="F109" s="171">
        <f>1-SUM(D109:E109)</f>
        <v>0</v>
      </c>
    </row>
    <row r="110" spans="1:6" ht="12.75">
      <c r="A110" s="229"/>
      <c r="B110" s="226"/>
      <c r="C110" s="168">
        <f>VLOOKUP($A109,'Orçamento Sintético'!$A:$H,8,0)</f>
        <v>94.5</v>
      </c>
      <c r="D110" s="172">
        <f>ROUND($C110*D109,2)</f>
        <v>94.5</v>
      </c>
      <c r="E110" s="172">
        <f>ROUND($C110*E109,2)</f>
        <v>0</v>
      </c>
      <c r="F110" s="172">
        <f>C110-SUM(D110:E110)</f>
        <v>0</v>
      </c>
    </row>
    <row r="111" spans="1:6" ht="12.75">
      <c r="A111" s="229" t="s">
        <v>25</v>
      </c>
      <c r="B111" s="225" t="str">
        <f>VLOOKUP($A111,'Orçamento Sintético'!$A:$H,4,0)</f>
        <v>Lastro de brita nº 1, espessura de 5cm, incluindo lona plástica para isolar o lastro do solo</v>
      </c>
      <c r="C111" s="167">
        <f>ROUND(C112/$F$452,4)</f>
        <v>0.0001</v>
      </c>
      <c r="D111" s="171">
        <v>1</v>
      </c>
      <c r="E111" s="171"/>
      <c r="F111" s="171">
        <f>1-SUM(D111:E111)</f>
        <v>0</v>
      </c>
    </row>
    <row r="112" spans="1:6" ht="12.75">
      <c r="A112" s="229"/>
      <c r="B112" s="226"/>
      <c r="C112" s="168">
        <f>VLOOKUP($A111,'Orçamento Sintético'!$A:$H,8,0)</f>
        <v>36.15</v>
      </c>
      <c r="D112" s="172">
        <f>ROUND($C112*D111,2)</f>
        <v>36.15</v>
      </c>
      <c r="E112" s="172">
        <f>ROUND($C112*E111,2)</f>
        <v>0</v>
      </c>
      <c r="F112" s="172">
        <f>C112-SUM(D112:E112)</f>
        <v>0</v>
      </c>
    </row>
    <row r="113" spans="1:6" ht="12.75">
      <c r="A113" s="229" t="s">
        <v>28</v>
      </c>
      <c r="B113" s="225" t="str">
        <f>VLOOKUP($A113,'Orçamento Sintético'!$A:$H,4,0)</f>
        <v>Cópia da SINAPI (87263) – Mão de obra de assentamento de revestimento cerâmico para piso com placas tipo porcelanato, inclusive argamassa e rejunte</v>
      </c>
      <c r="C113" s="167">
        <f>ROUND(C114/$F$452,4)</f>
        <v>0.01</v>
      </c>
      <c r="D113" s="171">
        <v>0.25</v>
      </c>
      <c r="E113" s="171">
        <v>0.75</v>
      </c>
      <c r="F113" s="171">
        <f>1-SUM(D113:E113)</f>
        <v>0</v>
      </c>
    </row>
    <row r="114" spans="1:6" ht="12.75">
      <c r="A114" s="229"/>
      <c r="B114" s="226"/>
      <c r="C114" s="168">
        <f>VLOOKUP($A113,'Orçamento Sintético'!$A:$H,8,0)</f>
        <v>6145.44</v>
      </c>
      <c r="D114" s="172">
        <f>ROUND($C114*D113,2)</f>
        <v>1536.36</v>
      </c>
      <c r="E114" s="172">
        <f>ROUND($C114*E113,2)</f>
        <v>4609.08</v>
      </c>
      <c r="F114" s="172">
        <f>C114-SUM(D114:E114)</f>
        <v>0</v>
      </c>
    </row>
    <row r="115" spans="1:6" ht="12.75">
      <c r="A115" s="229" t="s">
        <v>31</v>
      </c>
      <c r="B115" s="225" t="str">
        <f>VLOOKUP($A115,'Orçamento Sintético'!$A:$H,4,0)</f>
        <v>Copia da SINAPI (87263) - Porcelanato cinza claro, acab. acetindo 60x60cm, Biancogrês Cemento Grigio</v>
      </c>
      <c r="C115" s="167">
        <f>ROUND(C116/$F$452,4)</f>
        <v>0.0032</v>
      </c>
      <c r="D115" s="171">
        <v>0.25</v>
      </c>
      <c r="E115" s="171">
        <v>0.75</v>
      </c>
      <c r="F115" s="171">
        <f>1-SUM(D115:E115)</f>
        <v>0</v>
      </c>
    </row>
    <row r="116" spans="1:6" ht="12.75">
      <c r="A116" s="229"/>
      <c r="B116" s="226"/>
      <c r="C116" s="168">
        <f>VLOOKUP($A115,'Orçamento Sintético'!$A:$H,8,0)</f>
        <v>1951</v>
      </c>
      <c r="D116" s="172">
        <f>ROUND($C116*D115,2)</f>
        <v>487.75</v>
      </c>
      <c r="E116" s="172">
        <f>ROUND($C116*E115,2)</f>
        <v>1463.25</v>
      </c>
      <c r="F116" s="172">
        <f>C116-SUM(D116:E116)</f>
        <v>0</v>
      </c>
    </row>
    <row r="117" spans="1:6" ht="12.75">
      <c r="A117" s="229" t="s">
        <v>34</v>
      </c>
      <c r="B117" s="225" t="str">
        <f>VLOOKUP($A117,'Orçamento Sintético'!$A:$H,4,0)</f>
        <v>Copia da SINAPI (87263) - Porcelanato cinza escuro acab. acetinado 60x60cm, Biancogres Cemento Grafite</v>
      </c>
      <c r="C117" s="167">
        <f>ROUND(C118/$F$452,4)</f>
        <v>0.0079</v>
      </c>
      <c r="D117" s="171">
        <v>0.25</v>
      </c>
      <c r="E117" s="171">
        <v>0.75</v>
      </c>
      <c r="F117" s="171">
        <f>1-SUM(D117:E117)</f>
        <v>0</v>
      </c>
    </row>
    <row r="118" spans="1:6" ht="12.75">
      <c r="A118" s="229"/>
      <c r="B118" s="226"/>
      <c r="C118" s="168">
        <f>VLOOKUP($A117,'Orçamento Sintético'!$A:$H,8,0)</f>
        <v>4851.81</v>
      </c>
      <c r="D118" s="172">
        <f>ROUND($C118*D117,2)</f>
        <v>1212.95</v>
      </c>
      <c r="E118" s="172">
        <f>ROUND($C118*E117,2)</f>
        <v>3638.86</v>
      </c>
      <c r="F118" s="172">
        <f>C118-SUM(D118:E118)</f>
        <v>0</v>
      </c>
    </row>
    <row r="119" spans="1:6" ht="12.75">
      <c r="A119" s="229" t="s">
        <v>37</v>
      </c>
      <c r="B119" s="225" t="str">
        <f>VLOOKUP($A119,'Orçamento Sintético'!$A:$H,4,0)</f>
        <v>Copia da SINAPI (88650) - Rodapé em porcelanato cinza escuro acab. acetinado (peça 60x60cm) - corte 15x60, Biancogres Cemento Grafite</v>
      </c>
      <c r="C119" s="167">
        <f>ROUND(C120/$F$452,4)</f>
        <v>0.0038</v>
      </c>
      <c r="D119" s="171">
        <v>0.5</v>
      </c>
      <c r="E119" s="171">
        <v>0.5</v>
      </c>
      <c r="F119" s="171">
        <f>1-SUM(D119:E119)</f>
        <v>0</v>
      </c>
    </row>
    <row r="120" spans="1:6" ht="12.75">
      <c r="A120" s="229"/>
      <c r="B120" s="226"/>
      <c r="C120" s="168">
        <f>VLOOKUP($A119,'Orçamento Sintético'!$A:$H,8,0)</f>
        <v>2351.58</v>
      </c>
      <c r="D120" s="172">
        <f>ROUND($C120*D119,2)</f>
        <v>1175.79</v>
      </c>
      <c r="E120" s="172">
        <f>ROUND($C120*E119,2)</f>
        <v>1175.79</v>
      </c>
      <c r="F120" s="172">
        <f>C120-SUM(D120:E120)</f>
        <v>0</v>
      </c>
    </row>
    <row r="121" spans="1:6" ht="12.75">
      <c r="A121" s="229" t="s">
        <v>40</v>
      </c>
      <c r="B121" s="225" t="str">
        <f>VLOOKUP($A121,'Orçamento Sintético'!$A:$H,4,0)</f>
        <v>Copia da SINAPI (88650) - Rodapé em porcelanato cinza claro acab. acetinado (peça 60x60cm) - corte 15x60, Biancogres Cemento Grigio</v>
      </c>
      <c r="C121" s="167">
        <f>ROUND(C122/$F$452,4)</f>
        <v>0.007</v>
      </c>
      <c r="D121" s="171"/>
      <c r="E121" s="171">
        <v>1</v>
      </c>
      <c r="F121" s="171">
        <f>1-SUM(D121:E121)</f>
        <v>0</v>
      </c>
    </row>
    <row r="122" spans="1:6" ht="12.75">
      <c r="A122" s="229"/>
      <c r="B122" s="226"/>
      <c r="C122" s="168">
        <f>VLOOKUP($A121,'Orçamento Sintético'!$A:$H,8,0)</f>
        <v>4304.64</v>
      </c>
      <c r="D122" s="172">
        <f>ROUND($C122*D121,2)</f>
        <v>0</v>
      </c>
      <c r="E122" s="172">
        <f>ROUND($C122*E121,2)</f>
        <v>4304.64</v>
      </c>
      <c r="F122" s="172">
        <f>C122-SUM(D122:E122)</f>
        <v>0</v>
      </c>
    </row>
    <row r="123" spans="1:6" ht="12.75">
      <c r="A123" s="227" t="s">
        <v>713</v>
      </c>
      <c r="B123" s="227" t="str">
        <f>VLOOKUP($A123,'Orçamento Sintético'!$A:$H,4,0)</f>
        <v>Revestimentos de paredes</v>
      </c>
      <c r="C123" s="169">
        <f>ROUND(C124/$F$452,4)</f>
        <v>0.0589</v>
      </c>
      <c r="D123" s="169">
        <f>ROUND(D124/$C124,4)</f>
        <v>0.211</v>
      </c>
      <c r="E123" s="169">
        <f>ROUND(E124/$C124,4)</f>
        <v>0.5423</v>
      </c>
      <c r="F123" s="169">
        <f>ROUND(F124/$C124,4)</f>
        <v>0.2467</v>
      </c>
    </row>
    <row r="124" spans="1:6" ht="12.75">
      <c r="A124" s="228"/>
      <c r="B124" s="228"/>
      <c r="C124" s="170">
        <f>VLOOKUP($A123,'Orçamento Sintético'!$A:$H,8,0)</f>
        <v>36155.240000000005</v>
      </c>
      <c r="D124" s="170">
        <f>D126+D128+D130+D132+D134+D136+D138+D140+D142</f>
        <v>7630.499999999999</v>
      </c>
      <c r="E124" s="170">
        <f>E126+E128+E130+E132+E134+E136+E138+E140+E142</f>
        <v>19605.65</v>
      </c>
      <c r="F124" s="170">
        <f>F126+F128+F130+F132+F134+F136+F138+F140+F142</f>
        <v>8919.090000000002</v>
      </c>
    </row>
    <row r="125" spans="1:6" ht="16.5" customHeight="1">
      <c r="A125" s="229" t="s">
        <v>715</v>
      </c>
      <c r="B125" s="225" t="str">
        <f>VLOOKUP($A125,'Orçamento Sintético'!$A:$H,4,0)</f>
        <v>CHAPISCO APLICADO EM ALVENARIAS E ESTRUTURAS DE CONCRETO INTERNAS, COM COLHER DE PEDREIRO.  ARGAMASSA TRAÇO 1:3 COM PREPARO EM BETONEIRA 400L. AF_06/2014</v>
      </c>
      <c r="C125" s="167">
        <f>ROUND(C126/$F$452,4)</f>
        <v>0.0001</v>
      </c>
      <c r="D125" s="171">
        <v>1</v>
      </c>
      <c r="E125" s="171"/>
      <c r="F125" s="171">
        <f>1-SUM(D125:E125)</f>
        <v>0</v>
      </c>
    </row>
    <row r="126" spans="1:6" ht="16.5" customHeight="1">
      <c r="A126" s="229"/>
      <c r="B126" s="226"/>
      <c r="C126" s="168">
        <f>VLOOKUP($A125,'Orçamento Sintético'!$A:$H,8,0)</f>
        <v>51.22</v>
      </c>
      <c r="D126" s="172">
        <f>ROUND($C126*D125,2)</f>
        <v>51.22</v>
      </c>
      <c r="E126" s="172">
        <f>ROUND($C126*E125,2)</f>
        <v>0</v>
      </c>
      <c r="F126" s="172">
        <f>C126-SUM(D126:E126)</f>
        <v>0</v>
      </c>
    </row>
    <row r="127" spans="1:6" ht="23.25" customHeight="1">
      <c r="A127" s="229" t="s">
        <v>716</v>
      </c>
      <c r="B127" s="225" t="str">
        <f>VLOOKUP($A127,'Orçamento Sintético'!$A:$H,4,0)</f>
        <v>(COMPOSIÇÃO REPRESENTATIVA) DO SERVIÇO DE EMBOÇO/MASSA ÚNICA, APLICADO MANUALMENTE, TRAÇO 1:2:8, EM BETONEIRA DE 400L, PAREDES INTERNAS, COM EXECUÇÃO DE TALISCAS, EDIFICAÇÃO HABITACIONAL UNIFAMILIAR (CASAS) E EDIFICAÇÃO PÚBLICA PADRÃO. AF_12/2014</v>
      </c>
      <c r="C127" s="167">
        <f>ROUND(C128/$F$452,4)</f>
        <v>0.0008</v>
      </c>
      <c r="D127" s="171">
        <v>1</v>
      </c>
      <c r="E127" s="171"/>
      <c r="F127" s="171">
        <f>1-SUM(D127:E127)</f>
        <v>0</v>
      </c>
    </row>
    <row r="128" spans="1:6" ht="23.25" customHeight="1">
      <c r="A128" s="229"/>
      <c r="B128" s="226"/>
      <c r="C128" s="168">
        <f>VLOOKUP($A127,'Orçamento Sintético'!$A:$H,8,0)</f>
        <v>467.48</v>
      </c>
      <c r="D128" s="172">
        <f>ROUND($C128*D127,2)</f>
        <v>467.48</v>
      </c>
      <c r="E128" s="172">
        <f>ROUND($C128*E127,2)</f>
        <v>0</v>
      </c>
      <c r="F128" s="172">
        <f>C128-SUM(D128:E128)</f>
        <v>0</v>
      </c>
    </row>
    <row r="129" spans="1:6" ht="12.75" customHeight="1">
      <c r="A129" s="229" t="s">
        <v>717</v>
      </c>
      <c r="B129" s="225" t="str">
        <f>VLOOKUP($A129,'Orçamento Sintético'!$A:$H,4,0)</f>
        <v>Cópia Caern (1100165) - Laminado melamínico, acabamento texturizado, Polar, espessura 1,3mm, referência L190, fab. Fórmica</v>
      </c>
      <c r="C129" s="167">
        <f>ROUND(C130/$F$452,4)</f>
        <v>0.0086</v>
      </c>
      <c r="D129" s="171"/>
      <c r="E129" s="171">
        <v>0.5</v>
      </c>
      <c r="F129" s="171">
        <f>1-SUM(D129:E129)</f>
        <v>0.5</v>
      </c>
    </row>
    <row r="130" spans="1:6" ht="12.75" customHeight="1">
      <c r="A130" s="229"/>
      <c r="B130" s="226"/>
      <c r="C130" s="168">
        <f>VLOOKUP($A129,'Orçamento Sintético'!$A:$H,8,0)</f>
        <v>5282.35</v>
      </c>
      <c r="D130" s="172">
        <f>ROUND($C130*D129,2)</f>
        <v>0</v>
      </c>
      <c r="E130" s="172">
        <f>ROUND($C130*E129,2)</f>
        <v>2641.18</v>
      </c>
      <c r="F130" s="172">
        <f>C130-SUM(D130:E130)</f>
        <v>2641.1700000000005</v>
      </c>
    </row>
    <row r="131" spans="1:6" ht="12.75">
      <c r="A131" s="229" t="s">
        <v>720</v>
      </c>
      <c r="B131" s="225" t="str">
        <f>VLOOKUP($A131,'Orçamento Sintético'!$A:$H,4,0)</f>
        <v>Cópia Caern (1100165) - Mão de obra de instalação de laminado melamínico, espessura 1,3mm,  inclusive adesivo</v>
      </c>
      <c r="C131" s="167">
        <f>ROUND(C132/$F$452,4)</f>
        <v>0.0341</v>
      </c>
      <c r="D131" s="171">
        <v>0.2</v>
      </c>
      <c r="E131" s="171">
        <v>0.5</v>
      </c>
      <c r="F131" s="171">
        <f>1-SUM(D131:E131)</f>
        <v>0.30000000000000004</v>
      </c>
    </row>
    <row r="132" spans="1:6" ht="12.75">
      <c r="A132" s="229"/>
      <c r="B132" s="226"/>
      <c r="C132" s="168">
        <f>VLOOKUP($A131,'Orçamento Sintético'!$A:$H,8,0)</f>
        <v>20926.4</v>
      </c>
      <c r="D132" s="172">
        <f>ROUND($C132*D131,2)</f>
        <v>4185.28</v>
      </c>
      <c r="E132" s="172">
        <f>ROUND($C132*E131,2)</f>
        <v>10463.2</v>
      </c>
      <c r="F132" s="172">
        <f>C132-SUM(D132:E132)</f>
        <v>6277.920000000002</v>
      </c>
    </row>
    <row r="133" spans="1:6" ht="12.75" customHeight="1">
      <c r="A133" s="229" t="s">
        <v>723</v>
      </c>
      <c r="B133" s="225" t="str">
        <f>VLOOKUP($A133,'Orçamento Sintético'!$A:$H,4,0)</f>
        <v>Cópia SINAPI (87242) - Mão de obra para execução de pastilha de porcelana 5,0x5,0cm, assentada com argamassa pré-fabricada, incluindo rejuntamento</v>
      </c>
      <c r="C133" s="167">
        <f>ROUND(C134/$F$452,4)</f>
        <v>0.0002</v>
      </c>
      <c r="D133" s="171"/>
      <c r="E133" s="171">
        <v>1</v>
      </c>
      <c r="F133" s="171">
        <f>1-SUM(D133:E133)</f>
        <v>0</v>
      </c>
    </row>
    <row r="134" spans="1:6" ht="12.75" customHeight="1">
      <c r="A134" s="229"/>
      <c r="B134" s="226"/>
      <c r="C134" s="168">
        <f>VLOOKUP($A133,'Orçamento Sintético'!$A:$H,8,0)</f>
        <v>112.26</v>
      </c>
      <c r="D134" s="172">
        <f>ROUND($C134*D133,2)</f>
        <v>0</v>
      </c>
      <c r="E134" s="172">
        <f>ROUND($C134*E133,2)</f>
        <v>112.26</v>
      </c>
      <c r="F134" s="172">
        <f>C134-SUM(D134:E134)</f>
        <v>0</v>
      </c>
    </row>
    <row r="135" spans="1:6" ht="12.75">
      <c r="A135" s="229" t="s">
        <v>726</v>
      </c>
      <c r="B135" s="225" t="str">
        <f>VLOOKUP($A135,'Orçamento Sintético'!$A:$H,4,0)</f>
        <v>Copia - Copia da SINAPI (87269) - Cerâmica branca 32,5x59cm, assentada com argamassa pré-fabricada, incluindo rejuntamento Eliane Foma Branco acetinado</v>
      </c>
      <c r="C135" s="167">
        <f>ROUND(C136/$F$452,4)</f>
        <v>0.0101</v>
      </c>
      <c r="D135" s="171"/>
      <c r="E135" s="171">
        <v>1</v>
      </c>
      <c r="F135" s="171">
        <f>1-SUM(D135:E135)</f>
        <v>0</v>
      </c>
    </row>
    <row r="136" spans="1:6" ht="12.75">
      <c r="A136" s="229"/>
      <c r="B136" s="226"/>
      <c r="C136" s="168">
        <f>VLOOKUP($A135,'Orçamento Sintético'!$A:$H,8,0)</f>
        <v>6205.4</v>
      </c>
      <c r="D136" s="172">
        <f>ROUND($C136*D135,2)</f>
        <v>0</v>
      </c>
      <c r="E136" s="172">
        <f>ROUND($C136*E135,2)</f>
        <v>6205.4</v>
      </c>
      <c r="F136" s="172">
        <f>C136-SUM(D136:E136)</f>
        <v>0</v>
      </c>
    </row>
    <row r="137" spans="1:6" ht="12.75" customHeight="1">
      <c r="A137" s="229" t="s">
        <v>729</v>
      </c>
      <c r="B137" s="225" t="str">
        <f>VLOOKUP($A137,'Orçamento Sintético'!$A:$H,4,0)</f>
        <v>Cópia SINAPI (87242) -  Pastilha cerâmica, 5x5, produto telado em 30,65x30,65, fab. Atlas B-2140 Branco, assentada com argamassa pré-fabricada, incluindo rejuntamento</v>
      </c>
      <c r="C137" s="167">
        <f>ROUND(C138/$F$452,4)</f>
        <v>0.0003</v>
      </c>
      <c r="D137" s="171"/>
      <c r="E137" s="171">
        <v>1</v>
      </c>
      <c r="F137" s="171">
        <f>1-SUM(D137:E137)</f>
        <v>0</v>
      </c>
    </row>
    <row r="138" spans="1:6" ht="12.75" customHeight="1">
      <c r="A138" s="229"/>
      <c r="B138" s="226"/>
      <c r="C138" s="168">
        <f>VLOOKUP($A137,'Orçamento Sintético'!$A:$H,8,0)</f>
        <v>183.61</v>
      </c>
      <c r="D138" s="172">
        <f>ROUND($C138*D137,2)</f>
        <v>0</v>
      </c>
      <c r="E138" s="172">
        <f>ROUND($C138*E137,2)</f>
        <v>183.61</v>
      </c>
      <c r="F138" s="172">
        <f>C138-SUM(D138:E138)</f>
        <v>0</v>
      </c>
    </row>
    <row r="139" spans="1:6" ht="12.75">
      <c r="A139" s="229" t="s">
        <v>732</v>
      </c>
      <c r="B139" s="225" t="str">
        <f>VLOOKUP($A139,'Orçamento Sintético'!$A:$H,4,0)</f>
        <v>APLICAÇÃO MANUAL DE GESSO DESEMPENADO (SEM TALISCAS) EM PAREDES DE AMBIENTES DE ÁREA ENTRE 5M² E 10M², ESPESSURA DE 1,0CM. AF_06/2014</v>
      </c>
      <c r="C139" s="167">
        <f>ROUND(C140/$F$452,4)</f>
        <v>0.0036</v>
      </c>
      <c r="D139" s="171">
        <v>1</v>
      </c>
      <c r="E139" s="171"/>
      <c r="F139" s="171">
        <f>1-SUM(D139:E139)</f>
        <v>0</v>
      </c>
    </row>
    <row r="140" spans="1:6" ht="12.75">
      <c r="A140" s="229"/>
      <c r="B140" s="226"/>
      <c r="C140" s="168">
        <f>VLOOKUP($A139,'Orçamento Sintético'!$A:$H,8,0)</f>
        <v>2241.12</v>
      </c>
      <c r="D140" s="172">
        <f>ROUND($C140*D139,2)</f>
        <v>2241.12</v>
      </c>
      <c r="E140" s="172">
        <f>ROUND($C140*E139,2)</f>
        <v>0</v>
      </c>
      <c r="F140" s="172">
        <f>C140-SUM(D140:E140)</f>
        <v>0</v>
      </c>
    </row>
    <row r="141" spans="1:6" ht="12.75" customHeight="1">
      <c r="A141" s="229" t="s">
        <v>733</v>
      </c>
      <c r="B141" s="225" t="str">
        <f>VLOOKUP($A141,'Orçamento Sintético'!$A:$H,4,0)</f>
        <v>LIXAMENTO DE MASSA PARA MADEIRA. AF_01/2021</v>
      </c>
      <c r="C141" s="167">
        <f>ROUND(C142/$F$452,4)</f>
        <v>0.0011</v>
      </c>
      <c r="D141" s="171">
        <v>1</v>
      </c>
      <c r="E141" s="171"/>
      <c r="F141" s="171">
        <f>1-SUM(D141:E141)</f>
        <v>0</v>
      </c>
    </row>
    <row r="142" spans="1:6" ht="12.75" customHeight="1">
      <c r="A142" s="229"/>
      <c r="B142" s="226"/>
      <c r="C142" s="168">
        <f>VLOOKUP($A141,'Orçamento Sintético'!$A:$H,8,0)</f>
        <v>685.4</v>
      </c>
      <c r="D142" s="172">
        <f>ROUND($C142*D141,2)</f>
        <v>685.4</v>
      </c>
      <c r="E142" s="172">
        <f>ROUND($C142*E141,2)</f>
        <v>0</v>
      </c>
      <c r="F142" s="172">
        <f>C142-SUM(D142:E142)</f>
        <v>0</v>
      </c>
    </row>
    <row r="143" spans="1:6" ht="12.75">
      <c r="A143" s="227" t="s">
        <v>734</v>
      </c>
      <c r="B143" s="227" t="str">
        <f>VLOOKUP($A143,'Orçamento Sintético'!$A:$H,4,0)</f>
        <v>Revestimentos de forro</v>
      </c>
      <c r="C143" s="169">
        <f>ROUND(C144/$F$452,4)</f>
        <v>0.021</v>
      </c>
      <c r="D143" s="169">
        <f>ROUND(D144/$C144,4)</f>
        <v>0</v>
      </c>
      <c r="E143" s="169">
        <f>ROUND(E144/$C144,4)</f>
        <v>0</v>
      </c>
      <c r="F143" s="169">
        <f>ROUND(F144/$C144,4)</f>
        <v>1</v>
      </c>
    </row>
    <row r="144" spans="1:6" ht="12.75">
      <c r="A144" s="228"/>
      <c r="B144" s="228"/>
      <c r="C144" s="170">
        <f>VLOOKUP($A143,'Orçamento Sintético'!$A:$H,8,0)</f>
        <v>12908.82</v>
      </c>
      <c r="D144" s="170">
        <f>D146+D148</f>
        <v>0</v>
      </c>
      <c r="E144" s="170">
        <f>E146+E148</f>
        <v>0</v>
      </c>
      <c r="F144" s="170">
        <f>F146+F148</f>
        <v>12908.82</v>
      </c>
    </row>
    <row r="145" spans="1:6" ht="12.75" customHeight="1">
      <c r="A145" s="229" t="s">
        <v>736</v>
      </c>
      <c r="B145" s="225" t="str">
        <f>VLOOKUP($A145,'Orçamento Sintético'!$A:$H,4,0)</f>
        <v>FORRO EM DRYWALL, PARA AMBIENTES COMERCIAIS, INCLUSIVE ESTRUTURA DE FIXAÇÃO. AF_05/2017_P</v>
      </c>
      <c r="C145" s="167">
        <f>ROUND(C146/$F$452,4)</f>
        <v>0.0166</v>
      </c>
      <c r="D145" s="171"/>
      <c r="E145" s="171"/>
      <c r="F145" s="171">
        <f>1-SUM(D145:E145)</f>
        <v>1</v>
      </c>
    </row>
    <row r="146" spans="1:6" ht="12.75" customHeight="1">
      <c r="A146" s="229"/>
      <c r="B146" s="226"/>
      <c r="C146" s="168">
        <f>VLOOKUP($A145,'Orçamento Sintético'!$A:$H,8,0)</f>
        <v>10186.5</v>
      </c>
      <c r="D146" s="172">
        <f>ROUND($C146*D145,2)</f>
        <v>0</v>
      </c>
      <c r="E146" s="172">
        <f>ROUND($C146*E145,2)</f>
        <v>0</v>
      </c>
      <c r="F146" s="172">
        <f>C146-SUM(D146:E146)</f>
        <v>10186.5</v>
      </c>
    </row>
    <row r="147" spans="1:6" ht="12.75">
      <c r="A147" s="229" t="s">
        <v>737</v>
      </c>
      <c r="B147" s="225" t="str">
        <f>VLOOKUP($A147,'Orçamento Sintético'!$A:$H,4,0)</f>
        <v>Copia da SINAPI (96121) - Perfil tabica fechada, lisa, formato z, em aço galvanizado natural, largura total na horizontal 40mm, para estrutura forro drywall</v>
      </c>
      <c r="C147" s="167">
        <f>ROUND(C148/$F$452,4)</f>
        <v>0.0044</v>
      </c>
      <c r="D147" s="171"/>
      <c r="E147" s="171"/>
      <c r="F147" s="171">
        <f>1-SUM(D147:E147)</f>
        <v>1</v>
      </c>
    </row>
    <row r="148" spans="1:6" ht="12.75">
      <c r="A148" s="229"/>
      <c r="B148" s="226"/>
      <c r="C148" s="168">
        <f>VLOOKUP($A147,'Orçamento Sintético'!$A:$H,8,0)</f>
        <v>2722.32</v>
      </c>
      <c r="D148" s="172">
        <f>ROUND($C148*D147,2)</f>
        <v>0</v>
      </c>
      <c r="E148" s="172">
        <f>ROUND($C148*E147,2)</f>
        <v>0</v>
      </c>
      <c r="F148" s="172">
        <f>C148-SUM(D148:E148)</f>
        <v>2722.32</v>
      </c>
    </row>
    <row r="149" spans="1:6" ht="12.75" customHeight="1">
      <c r="A149" s="227" t="s">
        <v>740</v>
      </c>
      <c r="B149" s="227" t="str">
        <f>VLOOKUP($A149,'Orçamento Sintético'!$A:$H,4,0)</f>
        <v>Pinturas</v>
      </c>
      <c r="C149" s="169">
        <f>ROUND(C150/$F$452,4)</f>
        <v>0.0631</v>
      </c>
      <c r="D149" s="169">
        <f>ROUND(D150/$C150,4)</f>
        <v>0.3296</v>
      </c>
      <c r="E149" s="169">
        <f>ROUND(E150/$C150,4)</f>
        <v>0.3419</v>
      </c>
      <c r="F149" s="169">
        <f>ROUND(F150/$C150,4)</f>
        <v>0.3284</v>
      </c>
    </row>
    <row r="150" spans="1:6" ht="12.75" customHeight="1">
      <c r="A150" s="228"/>
      <c r="B150" s="228"/>
      <c r="C150" s="170">
        <f>VLOOKUP($A149,'Orçamento Sintético'!$A:$H,8,0)</f>
        <v>38753.61</v>
      </c>
      <c r="D150" s="170">
        <f>D152+D154+D156+D158+D160+D162+D164+D166</f>
        <v>12774.24</v>
      </c>
      <c r="E150" s="170">
        <f>E152+E154+E156+E158+E160+E162+E164+E166</f>
        <v>13251.599999999999</v>
      </c>
      <c r="F150" s="170">
        <f>F152+F154+F156+F158+F160+F162+F164+F166</f>
        <v>12727.769999999999</v>
      </c>
    </row>
    <row r="151" spans="1:6" ht="12.75">
      <c r="A151" s="229" t="s">
        <v>741</v>
      </c>
      <c r="B151" s="225" t="str">
        <f>VLOOKUP($A151,'Orçamento Sintético'!$A:$H,4,0)</f>
        <v>APLICAÇÃO MANUAL DE PINTURA COM TINTA LÁTEX ACRÍLICA EM TETO, DUAS DEMÃOS. AF_06/2014</v>
      </c>
      <c r="C151" s="167">
        <f>ROUND(C152/$F$452,4)</f>
        <v>0.0041</v>
      </c>
      <c r="D151" s="171">
        <v>0.3</v>
      </c>
      <c r="E151" s="171">
        <v>0.5</v>
      </c>
      <c r="F151" s="171">
        <f>1-SUM(D151:E151)</f>
        <v>0.19999999999999996</v>
      </c>
    </row>
    <row r="152" spans="1:6" ht="12.75">
      <c r="A152" s="229"/>
      <c r="B152" s="226"/>
      <c r="C152" s="168">
        <f>VLOOKUP($A151,'Orçamento Sintético'!$A:$H,8,0)</f>
        <v>2515.36</v>
      </c>
      <c r="D152" s="172">
        <f>ROUND($C152*D151,2)</f>
        <v>754.61</v>
      </c>
      <c r="E152" s="172">
        <f>ROUND($C152*E151,2)</f>
        <v>1257.68</v>
      </c>
      <c r="F152" s="172">
        <f>C152-SUM(D152:E152)</f>
        <v>503.07000000000016</v>
      </c>
    </row>
    <row r="153" spans="1:6" ht="12.75" customHeight="1">
      <c r="A153" s="229" t="s">
        <v>742</v>
      </c>
      <c r="B153" s="225" t="str">
        <f>VLOOKUP($A153,'Orçamento Sintético'!$A:$H,4,0)</f>
        <v>APLICAÇÃO E LIXAMENTO DE MASSA LÁTEX EM TETO, DUAS DEMÃOS. AF_06/2014</v>
      </c>
      <c r="C153" s="167">
        <f>ROUND(C154/$F$452,4)</f>
        <v>0.0073</v>
      </c>
      <c r="D153" s="171">
        <v>0.3</v>
      </c>
      <c r="E153" s="171">
        <v>0.5</v>
      </c>
      <c r="F153" s="171">
        <f>1-SUM(D153:E153)</f>
        <v>0.19999999999999996</v>
      </c>
    </row>
    <row r="154" spans="1:6" ht="12.75" customHeight="1">
      <c r="A154" s="229"/>
      <c r="B154" s="226"/>
      <c r="C154" s="168">
        <f>VLOOKUP($A153,'Orçamento Sintético'!$A:$H,8,0)</f>
        <v>4460.34</v>
      </c>
      <c r="D154" s="172">
        <f>ROUND($C154*D153,2)</f>
        <v>1338.1</v>
      </c>
      <c r="E154" s="172">
        <f>ROUND($C154*E153,2)</f>
        <v>2230.17</v>
      </c>
      <c r="F154" s="172">
        <f>C154-SUM(D154:E154)</f>
        <v>892.0700000000002</v>
      </c>
    </row>
    <row r="155" spans="1:6" ht="12.75">
      <c r="A155" s="229" t="s">
        <v>743</v>
      </c>
      <c r="B155" s="225" t="str">
        <f>VLOOKUP($A155,'Orçamento Sintético'!$A:$H,4,0)</f>
        <v>APLICAÇÃO MANUAL DE PINTURA COM TINTA LÁTEX ACRÍLICA EM PAREDES, DUAS DEMÃOS. AF_06/2014</v>
      </c>
      <c r="C155" s="167">
        <f>ROUND(C156/$F$452,4)</f>
        <v>0.0229</v>
      </c>
      <c r="D155" s="171">
        <v>0.5</v>
      </c>
      <c r="E155" s="171">
        <v>0.3</v>
      </c>
      <c r="F155" s="171">
        <f>1-SUM(D155:E155)</f>
        <v>0.19999999999999996</v>
      </c>
    </row>
    <row r="156" spans="1:6" ht="12.75">
      <c r="A156" s="229"/>
      <c r="B156" s="226"/>
      <c r="C156" s="168">
        <f>VLOOKUP($A155,'Orçamento Sintético'!$A:$H,8,0)</f>
        <v>14060</v>
      </c>
      <c r="D156" s="172">
        <f>ROUND($C156*D155,2)</f>
        <v>7030</v>
      </c>
      <c r="E156" s="172">
        <f>ROUND($C156*E155,2)</f>
        <v>4218</v>
      </c>
      <c r="F156" s="172">
        <f>C156-SUM(D156:E156)</f>
        <v>2812</v>
      </c>
    </row>
    <row r="157" spans="1:6" ht="12.75" customHeight="1">
      <c r="A157" s="229" t="s">
        <v>744</v>
      </c>
      <c r="B157" s="225" t="str">
        <f>VLOOKUP($A157,'Orçamento Sintético'!$A:$H,4,0)</f>
        <v>APLICAÇÃO E LIXAMENTO DE MASSA LÁTEX EM PAREDES, DUAS DEMÃOS. AF_06/2014</v>
      </c>
      <c r="C157" s="167">
        <f>ROUND(C158/$F$452,4)</f>
        <v>0.0114</v>
      </c>
      <c r="D157" s="171">
        <v>0.2</v>
      </c>
      <c r="E157" s="171">
        <v>0.6</v>
      </c>
      <c r="F157" s="171">
        <f>1-SUM(D157:E157)</f>
        <v>0.19999999999999996</v>
      </c>
    </row>
    <row r="158" spans="1:6" ht="12.75" customHeight="1">
      <c r="A158" s="229"/>
      <c r="B158" s="226"/>
      <c r="C158" s="168">
        <f>VLOOKUP($A157,'Orçamento Sintético'!$A:$H,8,0)</f>
        <v>6989.24</v>
      </c>
      <c r="D158" s="172">
        <f>ROUND($C158*D157,2)</f>
        <v>1397.85</v>
      </c>
      <c r="E158" s="172">
        <f>ROUND($C158*E157,2)</f>
        <v>4193.54</v>
      </c>
      <c r="F158" s="172">
        <f>C158-SUM(D158:E158)</f>
        <v>1397.8500000000004</v>
      </c>
    </row>
    <row r="159" spans="1:6" ht="18" customHeight="1">
      <c r="A159" s="229" t="s">
        <v>745</v>
      </c>
      <c r="B159" s="225" t="str">
        <f>VLOOKUP($A159,'Orçamento Sintético'!$A:$H,4,0)</f>
        <v>PINTURA COM TINTA ALQUÍDICA DE ACABAMENTO (ESMALTE SINTÉTICO ACETINADO) APLICADA A ROLO OU PINCEL SOBRE SUPERFÍCIES METÁLICAS (EXCETO PERFIL) EXECUTADO EM OBRA (02 DEMÃOS). AF_01/2020</v>
      </c>
      <c r="C159" s="167">
        <f>ROUND(C160/$F$452,4)</f>
        <v>0.0067</v>
      </c>
      <c r="D159" s="171"/>
      <c r="E159" s="171"/>
      <c r="F159" s="171">
        <f>1-SUM(D159:E159)</f>
        <v>1</v>
      </c>
    </row>
    <row r="160" spans="1:6" ht="18" customHeight="1">
      <c r="A160" s="229"/>
      <c r="B160" s="226"/>
      <c r="C160" s="168">
        <f>VLOOKUP($A159,'Orçamento Sintético'!$A:$H,8,0)</f>
        <v>4102.2</v>
      </c>
      <c r="D160" s="172">
        <f>ROUND($C160*D159,2)</f>
        <v>0</v>
      </c>
      <c r="E160" s="172">
        <f>ROUND($C160*E159,2)</f>
        <v>0</v>
      </c>
      <c r="F160" s="172">
        <f>C160-SUM(D160:E160)</f>
        <v>4102.2</v>
      </c>
    </row>
    <row r="161" spans="1:6" ht="18" customHeight="1">
      <c r="A161" s="229" t="s">
        <v>746</v>
      </c>
      <c r="B161" s="225" t="str">
        <f>VLOOKUP($A161,'Orçamento Sintético'!$A:$H,4,0)</f>
        <v>PINTURA COM TINTA ALQUÍDICA DE FUNDO (TIPO ZARCÃO) APLICADA A ROLO OU PINCEL SOBRE SUPERFÍCIES METÁLICAS (EXCETO PERFIL) EXECUTADO EM OBRA (POR DEMÃO). AF_01/2020</v>
      </c>
      <c r="C161" s="167">
        <f>ROUND(C162/$F$452,4)</f>
        <v>0.0033</v>
      </c>
      <c r="D161" s="171"/>
      <c r="E161" s="171"/>
      <c r="F161" s="171">
        <f>1-SUM(D161:E161)</f>
        <v>1</v>
      </c>
    </row>
    <row r="162" spans="1:6" ht="18" customHeight="1">
      <c r="A162" s="229"/>
      <c r="B162" s="226"/>
      <c r="C162" s="168">
        <f>VLOOKUP($A161,'Orçamento Sintético'!$A:$H,8,0)</f>
        <v>2003.4</v>
      </c>
      <c r="D162" s="172">
        <f>ROUND($C162*D161,2)</f>
        <v>0</v>
      </c>
      <c r="E162" s="172">
        <f>ROUND($C162*E161,2)</f>
        <v>0</v>
      </c>
      <c r="F162" s="172">
        <f>C162-SUM(D162:E162)</f>
        <v>2003.4</v>
      </c>
    </row>
    <row r="163" spans="1:6" ht="12.75">
      <c r="A163" s="229" t="s">
        <v>747</v>
      </c>
      <c r="B163" s="225" t="str">
        <f>VLOOKUP($A163,'Orçamento Sintético'!$A:$H,4,0)</f>
        <v>Copia da SINAPI (84665) - Pintura de sinalização vertical em faixas amarelo e preto</v>
      </c>
      <c r="C163" s="167">
        <f>ROUND(C164/$F$452,4)</f>
        <v>0.0073</v>
      </c>
      <c r="D163" s="171">
        <v>0.5</v>
      </c>
      <c r="E163" s="171">
        <v>0.3</v>
      </c>
      <c r="F163" s="171">
        <f>1-SUM(D163:E163)</f>
        <v>0.19999999999999996</v>
      </c>
    </row>
    <row r="164" spans="1:6" ht="12.75">
      <c r="A164" s="229"/>
      <c r="B164" s="226"/>
      <c r="C164" s="168">
        <f>VLOOKUP($A163,'Orçamento Sintético'!$A:$H,8,0)</f>
        <v>4507.36</v>
      </c>
      <c r="D164" s="172">
        <f>ROUND($C164*D163,2)</f>
        <v>2253.68</v>
      </c>
      <c r="E164" s="172">
        <f>ROUND($C164*E163,2)</f>
        <v>1352.21</v>
      </c>
      <c r="F164" s="172">
        <f>C164-SUM(D164:E164)</f>
        <v>901.4699999999998</v>
      </c>
    </row>
    <row r="165" spans="1:6" ht="12.75" customHeight="1">
      <c r="A165" s="229" t="s">
        <v>750</v>
      </c>
      <c r="B165" s="225" t="str">
        <f>VLOOKUP($A165,'Orçamento Sintético'!$A:$H,4,0)</f>
        <v>PINTURA ACRILICA EM PISO CIMENTADO DUAS DEMAOS</v>
      </c>
      <c r="C165" s="167">
        <f>ROUND(C166/$F$452,4)</f>
        <v>0.0002</v>
      </c>
      <c r="D165" s="171"/>
      <c r="E165" s="171"/>
      <c r="F165" s="171">
        <f>1-SUM(D165:E165)</f>
        <v>1</v>
      </c>
    </row>
    <row r="166" spans="1:6" ht="12.75" customHeight="1">
      <c r="A166" s="229"/>
      <c r="B166" s="226"/>
      <c r="C166" s="168">
        <f>VLOOKUP($A165,'Orçamento Sintético'!$A:$H,8,0)</f>
        <v>115.71</v>
      </c>
      <c r="D166" s="172">
        <f>ROUND($C166*D165,2)</f>
        <v>0</v>
      </c>
      <c r="E166" s="172">
        <f>ROUND($C166*E165,2)</f>
        <v>0</v>
      </c>
      <c r="F166" s="172">
        <f>C166-SUM(D166:E166)</f>
        <v>115.71</v>
      </c>
    </row>
    <row r="167" spans="1:6" ht="12.75">
      <c r="A167" s="227" t="s">
        <v>751</v>
      </c>
      <c r="B167" s="227" t="str">
        <f>VLOOKUP($A167,'Orçamento Sintético'!$A:$H,4,0)</f>
        <v>Impermeabilizações</v>
      </c>
      <c r="C167" s="169">
        <f>ROUND(C168/$F$452,4)</f>
        <v>0.0041</v>
      </c>
      <c r="D167" s="169">
        <f>ROUND(D168/$C168,4)</f>
        <v>0.5</v>
      </c>
      <c r="E167" s="169">
        <f>ROUND(E168/$C168,4)</f>
        <v>0.5</v>
      </c>
      <c r="F167" s="169">
        <f>ROUND(F168/$C168,4)</f>
        <v>0</v>
      </c>
    </row>
    <row r="168" spans="1:6" ht="12.75">
      <c r="A168" s="228"/>
      <c r="B168" s="228"/>
      <c r="C168" s="170">
        <f>VLOOKUP($A167,'Orçamento Sintético'!$A:$H,8,0)</f>
        <v>2505.42</v>
      </c>
      <c r="D168" s="170">
        <f>D170</f>
        <v>1252.71</v>
      </c>
      <c r="E168" s="170">
        <f>E170</f>
        <v>1252.71</v>
      </c>
      <c r="F168" s="170">
        <f>F170</f>
        <v>0</v>
      </c>
    </row>
    <row r="169" spans="1:6" ht="12.75" customHeight="1">
      <c r="A169" s="229" t="s">
        <v>753</v>
      </c>
      <c r="B169" s="225" t="str">
        <f>VLOOKUP($A169,'Orçamento Sintético'!$A:$H,4,0)</f>
        <v>IMPERMEABILIZAÇÃO DE SUPERFÍCIE COM ARGAMASSA POLIMÉRICA / MEMBRANA ACRÍLICA, 3 DEMÃOS. AF_06/2018</v>
      </c>
      <c r="C169" s="167">
        <f>ROUND(C170/$F$452,4)</f>
        <v>0.0041</v>
      </c>
      <c r="D169" s="171">
        <v>0.5</v>
      </c>
      <c r="E169" s="171">
        <v>0.5</v>
      </c>
      <c r="F169" s="171">
        <f>1-SUM(D169:E169)</f>
        <v>0</v>
      </c>
    </row>
    <row r="170" spans="1:6" ht="12.75" customHeight="1">
      <c r="A170" s="229"/>
      <c r="B170" s="226"/>
      <c r="C170" s="168">
        <f>VLOOKUP($A169,'Orçamento Sintético'!$A:$H,8,0)</f>
        <v>2505.42</v>
      </c>
      <c r="D170" s="172">
        <f>ROUND($C170*D169,2)</f>
        <v>1252.71</v>
      </c>
      <c r="E170" s="172">
        <f>ROUND($C170*E169,2)</f>
        <v>1252.71</v>
      </c>
      <c r="F170" s="172">
        <f>C170-SUM(D170:E170)</f>
        <v>0</v>
      </c>
    </row>
    <row r="171" spans="1:6" ht="12.75">
      <c r="A171" s="227" t="s">
        <v>754</v>
      </c>
      <c r="B171" s="227" t="str">
        <f>VLOOKUP($A171,'Orçamento Sintético'!$A:$H,4,0)</f>
        <v>Acabamentos e Arremates</v>
      </c>
      <c r="C171" s="169">
        <f>ROUND(C172/$F$452,4)</f>
        <v>0.0045</v>
      </c>
      <c r="D171" s="169">
        <f>ROUND(D172/$C172,4)</f>
        <v>0.4089</v>
      </c>
      <c r="E171" s="169">
        <f>ROUND(E172/$C172,4)</f>
        <v>0.5251</v>
      </c>
      <c r="F171" s="169">
        <f>ROUND(F172/$C172,4)</f>
        <v>0.066</v>
      </c>
    </row>
    <row r="172" spans="1:6" ht="12.75">
      <c r="A172" s="228"/>
      <c r="B172" s="228"/>
      <c r="C172" s="170">
        <f>VLOOKUP($A171,'Orçamento Sintético'!$A:$H,8,0)</f>
        <v>2755.33</v>
      </c>
      <c r="D172" s="170">
        <f>D174+D176+D178</f>
        <v>1126.71</v>
      </c>
      <c r="E172" s="170">
        <f>E174+E176+E178</f>
        <v>1446.9</v>
      </c>
      <c r="F172" s="170">
        <f>F174+F176+F178</f>
        <v>181.72</v>
      </c>
    </row>
    <row r="173" spans="1:6" ht="12.75" customHeight="1">
      <c r="A173" s="229" t="s">
        <v>756</v>
      </c>
      <c r="B173" s="225" t="str">
        <f>VLOOKUP($A173,'Orçamento Sintético'!$A:$H,4,0)</f>
        <v>Copia da SETOP (PIS-FAI-005) - Fita antiderrapante 3M Safety Walk,  linha Conformable.</v>
      </c>
      <c r="C173" s="167">
        <f>ROUND(C174/$F$452,4)</f>
        <v>0.0003</v>
      </c>
      <c r="D173" s="171"/>
      <c r="E173" s="171"/>
      <c r="F173" s="171">
        <f>1-SUM(D173:E173)</f>
        <v>1</v>
      </c>
    </row>
    <row r="174" spans="1:6" ht="12.75" customHeight="1">
      <c r="A174" s="229"/>
      <c r="B174" s="226"/>
      <c r="C174" s="168">
        <f>VLOOKUP($A173,'Orçamento Sintético'!$A:$H,8,0)</f>
        <v>181.72</v>
      </c>
      <c r="D174" s="172">
        <f>ROUND($C174*D173,2)</f>
        <v>0</v>
      </c>
      <c r="E174" s="172">
        <f>ROUND($C174*E173,2)</f>
        <v>0</v>
      </c>
      <c r="F174" s="172">
        <f>C174-SUM(D174:E174)</f>
        <v>181.72</v>
      </c>
    </row>
    <row r="175" spans="1:6" ht="12.75">
      <c r="A175" s="229" t="s">
        <v>759</v>
      </c>
      <c r="B175" s="225" t="str">
        <f>VLOOKUP($A175,'Orçamento Sintético'!$A:$H,4,0)</f>
        <v>SOLEIRA EM GRANITO, LARGURA 15 CM, ESPESSURA 2,0 CM. AF_06/2018</v>
      </c>
      <c r="C175" s="167">
        <f>ROUND(C176/$F$452,4)</f>
        <v>0.0018</v>
      </c>
      <c r="D175" s="171">
        <v>1</v>
      </c>
      <c r="E175" s="171"/>
      <c r="F175" s="171">
        <f>1-SUM(D175:E175)</f>
        <v>0</v>
      </c>
    </row>
    <row r="176" spans="1:6" ht="12.75">
      <c r="A176" s="229"/>
      <c r="B176" s="226"/>
      <c r="C176" s="168">
        <f>VLOOKUP($A175,'Orçamento Sintético'!$A:$H,8,0)</f>
        <v>1126.71</v>
      </c>
      <c r="D176" s="172">
        <f>ROUND($C176*D175,2)</f>
        <v>1126.71</v>
      </c>
      <c r="E176" s="172">
        <f>ROUND($C176*E175,2)</f>
        <v>0</v>
      </c>
      <c r="F176" s="172">
        <f>C176-SUM(D176:E176)</f>
        <v>0</v>
      </c>
    </row>
    <row r="177" spans="1:6" ht="12.75" customHeight="1">
      <c r="A177" s="229" t="s">
        <v>760</v>
      </c>
      <c r="B177" s="225" t="str">
        <f>VLOOKUP($A177,'Orçamento Sintético'!$A:$H,4,0)</f>
        <v>Copia da SINAPI (98689) - SOLEIRA EM GRANITO, LARGURA 25 CM, ESPESSURA 2,0 CM.</v>
      </c>
      <c r="C177" s="167">
        <f>ROUND(C178/$F$452,4)</f>
        <v>0.0024</v>
      </c>
      <c r="D177" s="171"/>
      <c r="E177" s="171">
        <v>1</v>
      </c>
      <c r="F177" s="171">
        <f>1-SUM(D177:E177)</f>
        <v>0</v>
      </c>
    </row>
    <row r="178" spans="1:6" ht="12.75" customHeight="1">
      <c r="A178" s="229"/>
      <c r="B178" s="226"/>
      <c r="C178" s="168">
        <f>VLOOKUP($A177,'Orçamento Sintético'!$A:$H,8,0)</f>
        <v>1446.9</v>
      </c>
      <c r="D178" s="172">
        <f>ROUND($C178*D177,2)</f>
        <v>0</v>
      </c>
      <c r="E178" s="172">
        <f>ROUND($C178*E177,2)</f>
        <v>1446.9</v>
      </c>
      <c r="F178" s="172">
        <f>C178-SUM(D178:E178)</f>
        <v>0</v>
      </c>
    </row>
    <row r="179" spans="1:6" ht="12.75">
      <c r="A179" s="227" t="s">
        <v>763</v>
      </c>
      <c r="B179" s="227" t="str">
        <f>VLOOKUP($A179,'Orçamento Sintético'!$A:$H,4,0)</f>
        <v>Equipamentos e Acessórios</v>
      </c>
      <c r="C179" s="169">
        <f>ROUND(C180/$F$452,4)</f>
        <v>0.0422</v>
      </c>
      <c r="D179" s="169">
        <f>ROUND(D180/$C180,4)</f>
        <v>0</v>
      </c>
      <c r="E179" s="169">
        <f>ROUND(E180/$C180,4)</f>
        <v>0.497</v>
      </c>
      <c r="F179" s="169">
        <f>ROUND(F180/$C180,4)</f>
        <v>0.503</v>
      </c>
    </row>
    <row r="180" spans="1:6" ht="12.75">
      <c r="A180" s="228"/>
      <c r="B180" s="228"/>
      <c r="C180" s="170">
        <f>VLOOKUP($A179,'Orçamento Sintético'!$A:$H,8,0)</f>
        <v>25904.140000000003</v>
      </c>
      <c r="D180" s="170">
        <f>D182+D184+D186</f>
        <v>0</v>
      </c>
      <c r="E180" s="170">
        <f>E182+E184+E186</f>
        <v>12875.04</v>
      </c>
      <c r="F180" s="170">
        <f>F182+F184+F186</f>
        <v>13029.1</v>
      </c>
    </row>
    <row r="181" spans="1:6" ht="12.75" customHeight="1">
      <c r="A181" s="229" t="s">
        <v>765</v>
      </c>
      <c r="B181" s="225" t="str">
        <f>VLOOKUP($A181,'Orçamento Sintético'!$A:$H,4,0)</f>
        <v>Corrimão duplo de Ø 1.1/2" (38,1mm) em tubo de aço industrial, para pintura esmalte. Fixado em alvenaria ou guarda-corpo</v>
      </c>
      <c r="C181" s="167">
        <f>ROUND(C182/$F$452,4)</f>
        <v>0.0047</v>
      </c>
      <c r="D181" s="171"/>
      <c r="E181" s="171">
        <v>0.5</v>
      </c>
      <c r="F181" s="171">
        <f>1-SUM(D181:E181)</f>
        <v>0.5</v>
      </c>
    </row>
    <row r="182" spans="1:6" ht="12.75" customHeight="1">
      <c r="A182" s="229"/>
      <c r="B182" s="226"/>
      <c r="C182" s="168">
        <f>VLOOKUP($A181,'Orçamento Sintético'!$A:$H,8,0)</f>
        <v>2867.41</v>
      </c>
      <c r="D182" s="172">
        <f>ROUND($C182*D181,2)</f>
        <v>0</v>
      </c>
      <c r="E182" s="172">
        <f>ROUND($C182*E181,2)</f>
        <v>1433.71</v>
      </c>
      <c r="F182" s="172">
        <f>C182-SUM(D182:E182)</f>
        <v>1433.6999999999998</v>
      </c>
    </row>
    <row r="183" spans="1:6" ht="12.75">
      <c r="A183" s="229" t="s">
        <v>768</v>
      </c>
      <c r="B183" s="225" t="str">
        <f>VLOOKUP($A183,'Orçamento Sintético'!$A:$H,4,0)</f>
        <v>Complemento de corrimão simples para duplo 1 1/2", de aço galvanizado para pintura, fixado em alvenaria ou guarda corpo</v>
      </c>
      <c r="C183" s="167">
        <f>ROUND(C184/$F$452,4)</f>
        <v>0.0373</v>
      </c>
      <c r="D183" s="171"/>
      <c r="E183" s="171">
        <v>0.5</v>
      </c>
      <c r="F183" s="171">
        <f>1-SUM(D183:E183)</f>
        <v>0.5</v>
      </c>
    </row>
    <row r="184" spans="1:6" ht="12.75">
      <c r="A184" s="229"/>
      <c r="B184" s="226"/>
      <c r="C184" s="168">
        <f>VLOOKUP($A183,'Orçamento Sintético'!$A:$H,8,0)</f>
        <v>22882.65</v>
      </c>
      <c r="D184" s="172">
        <f>ROUND($C184*D183,2)</f>
        <v>0</v>
      </c>
      <c r="E184" s="172">
        <f>ROUND($C184*E183,2)</f>
        <v>11441.33</v>
      </c>
      <c r="F184" s="172">
        <f>C184-SUM(D184:E184)</f>
        <v>11441.320000000002</v>
      </c>
    </row>
    <row r="185" spans="1:6" ht="12.75" customHeight="1">
      <c r="A185" s="229" t="s">
        <v>771</v>
      </c>
      <c r="B185" s="225" t="str">
        <f>VLOOKUP($A185,'Orçamento Sintético'!$A:$H,4,0)</f>
        <v>Plaquetas de sinalização em braile em placas de alumínio, escrita em alfabeto braile, identificando o pavimento em que o usuário se encontra, referência: Andaluz</v>
      </c>
      <c r="C185" s="167">
        <f>ROUND(C186/$F$452,4)</f>
        <v>0.0003</v>
      </c>
      <c r="D185" s="171"/>
      <c r="E185" s="171"/>
      <c r="F185" s="171">
        <f>1-SUM(D185:E185)</f>
        <v>1</v>
      </c>
    </row>
    <row r="186" spans="1:6" ht="12.75" customHeight="1">
      <c r="A186" s="229"/>
      <c r="B186" s="226"/>
      <c r="C186" s="168">
        <f>VLOOKUP($A185,'Orçamento Sintético'!$A:$H,8,0)</f>
        <v>154.08</v>
      </c>
      <c r="D186" s="172">
        <f>ROUND($C186*D185,2)</f>
        <v>0</v>
      </c>
      <c r="E186" s="172">
        <f>ROUND($C186*E185,2)</f>
        <v>0</v>
      </c>
      <c r="F186" s="172">
        <f>C186-SUM(D186:E186)</f>
        <v>154.08</v>
      </c>
    </row>
    <row r="187" spans="1:6" ht="12.75">
      <c r="A187" s="227" t="s">
        <v>773</v>
      </c>
      <c r="B187" s="227" t="str">
        <f>VLOOKUP($A187,'Orçamento Sintético'!$A:$H,4,0)</f>
        <v>Sanitários e Vestiários</v>
      </c>
      <c r="C187" s="169">
        <f>ROUND(C188/$F$452,4)</f>
        <v>0.1885</v>
      </c>
      <c r="D187" s="169">
        <f>ROUND(D188/$C188,4)</f>
        <v>0.0792</v>
      </c>
      <c r="E187" s="169">
        <f>ROUND(E188/$C188,4)</f>
        <v>0.2197</v>
      </c>
      <c r="F187" s="169">
        <f>ROUND(F188/$C188,4)</f>
        <v>0.7011</v>
      </c>
    </row>
    <row r="188" spans="1:6" ht="12.75">
      <c r="A188" s="228"/>
      <c r="B188" s="228"/>
      <c r="C188" s="170">
        <f>VLOOKUP($A187,'Orçamento Sintético'!$A:$H,8,0)</f>
        <v>115747.30999999998</v>
      </c>
      <c r="D188" s="170">
        <f>D190+D192+D194+D196+D198+D200+D202+D204+D206+D208+D210+D212+D214+D216+D218+D220+D222+D224+D226+D228+D230+D232+D234+D236+D238+D240+D242+D244+D246+D248</f>
        <v>9167.690000000002</v>
      </c>
      <c r="E188" s="170">
        <f>E190+E192+E194+E196+E198+E200+E202+E204+E206+E208+E210+E212+E214+E216+E218+E220+E222+E224+E226+E228+E230+E232+E234+E236+E238+E240+E242+E244+E246+E248</f>
        <v>25426.39</v>
      </c>
      <c r="F188" s="170">
        <f>F190+F192+F194+F196+F198+F200+F202+F204+F206+F208+F210+F212+F214+F216+F218+F220+F222+F224+F226+F228+F230+F232+F234+F236+F238+F240+F242+F244+F246+F248</f>
        <v>81153.23000000001</v>
      </c>
    </row>
    <row r="189" spans="1:6" ht="12.75">
      <c r="A189" s="229" t="s">
        <v>775</v>
      </c>
      <c r="B189" s="225" t="str">
        <f>VLOOKUP($A189,'Orçamento Sintético'!$A:$H,4,0)</f>
        <v>Copia da SINAPI (95470) - Bacia sanitária, cor branco gelo, Linha Monte Carlo cód. P.8.17, fab. Deca - inclusive assento PLÁSTICO</v>
      </c>
      <c r="C189" s="167">
        <f>ROUND(C190/$F$452,4)</f>
        <v>0.0249</v>
      </c>
      <c r="D189" s="171"/>
      <c r="E189" s="171">
        <v>0.5</v>
      </c>
      <c r="F189" s="171">
        <f>1-SUM(D189:E189)</f>
        <v>0.5</v>
      </c>
    </row>
    <row r="190" spans="1:6" ht="12.75">
      <c r="A190" s="229"/>
      <c r="B190" s="226"/>
      <c r="C190" s="168">
        <f>VLOOKUP($A189,'Orçamento Sintético'!$A:$H,8,0)</f>
        <v>15265.53</v>
      </c>
      <c r="D190" s="172">
        <f>ROUND($C190*D189,2)</f>
        <v>0</v>
      </c>
      <c r="E190" s="172">
        <f>ROUND($C190*E189,2)</f>
        <v>7632.77</v>
      </c>
      <c r="F190" s="172">
        <f>C190-SUM(D190:E190)</f>
        <v>7632.76</v>
      </c>
    </row>
    <row r="191" spans="1:6" ht="12.75">
      <c r="A191" s="229" t="s">
        <v>778</v>
      </c>
      <c r="B191" s="225" t="str">
        <f>VLOOKUP($A191,'Orçamento Sintético'!$A:$H,4,0)</f>
        <v>Copia da SINAPI (95470) - Bacia sanitária, Linha Studio Kids, cor branco gelo, código PI.16.17, fabricação Deca - inclusive assento</v>
      </c>
      <c r="C191" s="167">
        <f>ROUND(C192/$F$452,4)</f>
        <v>0.0035</v>
      </c>
      <c r="D191" s="171"/>
      <c r="E191" s="171">
        <v>0.5</v>
      </c>
      <c r="F191" s="171">
        <f>1-SUM(D191:E191)</f>
        <v>0.5</v>
      </c>
    </row>
    <row r="192" spans="1:6" ht="12.75">
      <c r="A192" s="229"/>
      <c r="B192" s="226"/>
      <c r="C192" s="168">
        <f>VLOOKUP($A191,'Orçamento Sintético'!$A:$H,8,0)</f>
        <v>2150.92</v>
      </c>
      <c r="D192" s="172">
        <f>ROUND($C192*D191,2)</f>
        <v>0</v>
      </c>
      <c r="E192" s="172">
        <f>ROUND($C192*E191,2)</f>
        <v>1075.46</v>
      </c>
      <c r="F192" s="172">
        <f>C192-SUM(D192:E192)</f>
        <v>1075.46</v>
      </c>
    </row>
    <row r="193" spans="1:6" ht="12.75">
      <c r="A193" s="229" t="s">
        <v>781</v>
      </c>
      <c r="B193" s="225" t="str">
        <f>VLOOKUP($A193,'Orçamento Sintético'!$A:$H,4,0)</f>
        <v>Copia da SINAPI (95471) - Bacia sanitária, Linha Vogue Plus Conforto, cor branco gelo, código P. 510, fabricação Deca - inclusive assento PLÁSTICO</v>
      </c>
      <c r="C193" s="167">
        <f>ROUND(C194/$F$452,4)</f>
        <v>0.0053</v>
      </c>
      <c r="D193" s="171"/>
      <c r="E193" s="171">
        <v>0.5</v>
      </c>
      <c r="F193" s="171">
        <f>1-SUM(D193:E193)</f>
        <v>0.5</v>
      </c>
    </row>
    <row r="194" spans="1:6" ht="12.75">
      <c r="A194" s="229"/>
      <c r="B194" s="226"/>
      <c r="C194" s="168">
        <f>VLOOKUP($A193,'Orçamento Sintético'!$A:$H,8,0)</f>
        <v>3256.14</v>
      </c>
      <c r="D194" s="172">
        <f>ROUND($C194*D193,2)</f>
        <v>0</v>
      </c>
      <c r="E194" s="172">
        <f>ROUND($C194*E193,2)</f>
        <v>1628.07</v>
      </c>
      <c r="F194" s="172">
        <f>C194-SUM(D194:E194)</f>
        <v>1628.07</v>
      </c>
    </row>
    <row r="195" spans="1:6" ht="12.75">
      <c r="A195" s="229" t="s">
        <v>784</v>
      </c>
      <c r="B195" s="225" t="str">
        <f>VLOOKUP($A195,'Orçamento Sintético'!$A:$H,4,0)</f>
        <v>Copia da SINAPI (99635) - Válvula de descarga com acabamento cromado duplo acionamento, antivandalismo, Linha Hidra Duo 1 1/2”, cód. 2545.C.112PRO e 4900.C.DUO.PRO, fab. Deca - inclusive tubo de ligação</v>
      </c>
      <c r="C195" s="167">
        <f>ROUND(C196/$F$452,4)</f>
        <v>0.0092</v>
      </c>
      <c r="D195" s="171"/>
      <c r="E195" s="171">
        <v>0.3</v>
      </c>
      <c r="F195" s="171">
        <f>1-SUM(D195:E195)</f>
        <v>0.7</v>
      </c>
    </row>
    <row r="196" spans="1:6" ht="12.75">
      <c r="A196" s="229"/>
      <c r="B196" s="226"/>
      <c r="C196" s="168">
        <f>VLOOKUP($A195,'Orçamento Sintético'!$A:$H,8,0)</f>
        <v>5619.12</v>
      </c>
      <c r="D196" s="172">
        <f>ROUND($C196*D195,2)</f>
        <v>0</v>
      </c>
      <c r="E196" s="172">
        <f>ROUND($C196*E195,2)</f>
        <v>1685.74</v>
      </c>
      <c r="F196" s="172">
        <f>C196-SUM(D196:E196)</f>
        <v>3933.38</v>
      </c>
    </row>
    <row r="197" spans="1:6" ht="12.75">
      <c r="A197" s="229" t="s">
        <v>787</v>
      </c>
      <c r="B197" s="225" t="str">
        <f>VLOOKUP($A197,'Orçamento Sintético'!$A:$H,4,0)</f>
        <v>Copia da SBC(190207) - Acabamento cromado duplo acionamento, antivandalismo, Linha Hidra Duo 1 1/2”, cód. 2545.C.112PRO e 4900.C.DUO.PRO, fab. Deca</v>
      </c>
      <c r="C197" s="167">
        <f>ROUND(C198/$F$452,4)</f>
        <v>0.0057</v>
      </c>
      <c r="D197" s="171">
        <v>0.3</v>
      </c>
      <c r="E197" s="171">
        <v>0.3</v>
      </c>
      <c r="F197" s="171">
        <f>1-SUM(D197:E197)</f>
        <v>0.4</v>
      </c>
    </row>
    <row r="198" spans="1:6" ht="12.75">
      <c r="A198" s="229"/>
      <c r="B198" s="226"/>
      <c r="C198" s="168">
        <f>VLOOKUP($A197,'Orçamento Sintético'!$A:$H,8,0)</f>
        <v>3511.8</v>
      </c>
      <c r="D198" s="172">
        <f>ROUND($C198*D197,2)</f>
        <v>1053.54</v>
      </c>
      <c r="E198" s="172">
        <f>ROUND($C198*E197,2)</f>
        <v>1053.54</v>
      </c>
      <c r="F198" s="172">
        <f>C198-SUM(D198:E198)</f>
        <v>1404.7200000000003</v>
      </c>
    </row>
    <row r="199" spans="1:6" ht="12.75">
      <c r="A199" s="229" t="s">
        <v>790</v>
      </c>
      <c r="B199" s="225" t="str">
        <f>VLOOKUP($A199,'Orçamento Sintético'!$A:$H,4,0)</f>
        <v>Copia da Sinapi (100858) - Mictório branco com sifão integrado, cód. M 715.17, fab. Deca - completo</v>
      </c>
      <c r="C199" s="167">
        <f>ROUND(C200/$F$452,4)</f>
        <v>0.0103</v>
      </c>
      <c r="D199" s="171">
        <v>0.25</v>
      </c>
      <c r="E199" s="171">
        <v>0.25</v>
      </c>
      <c r="F199" s="171">
        <f>1-SUM(D199:E199)</f>
        <v>0.5</v>
      </c>
    </row>
    <row r="200" spans="1:6" ht="12.75">
      <c r="A200" s="229"/>
      <c r="B200" s="226"/>
      <c r="C200" s="168">
        <f>VLOOKUP($A199,'Orçamento Sintético'!$A:$H,8,0)</f>
        <v>6338.85</v>
      </c>
      <c r="D200" s="172">
        <f>ROUND($C200*D199,2)</f>
        <v>1584.71</v>
      </c>
      <c r="E200" s="172">
        <f>ROUND($C200*E199,2)</f>
        <v>1584.71</v>
      </c>
      <c r="F200" s="172">
        <f>C200-SUM(D200:E200)</f>
        <v>3169.4300000000003</v>
      </c>
    </row>
    <row r="201" spans="1:6" ht="12.75">
      <c r="A201" s="229" t="s">
        <v>793</v>
      </c>
      <c r="B201" s="225" t="str">
        <f>VLOOKUP($A201,'Orçamento Sintético'!$A:$H,4,0)</f>
        <v>Copia da SINAPI (86904) - Lavatório de semi-encaixe em louça, branco, fixado sobre a bancada. Ref. Linha Monte Carlo L82.17, fab. Deca</v>
      </c>
      <c r="C201" s="167">
        <f>ROUND(C202/$F$452,4)</f>
        <v>0.0132</v>
      </c>
      <c r="D201" s="171">
        <v>0.25</v>
      </c>
      <c r="E201" s="171">
        <v>0.25</v>
      </c>
      <c r="F201" s="171">
        <f>1-SUM(D201:E201)</f>
        <v>0.5</v>
      </c>
    </row>
    <row r="202" spans="1:6" ht="12.75">
      <c r="A202" s="229"/>
      <c r="B202" s="226"/>
      <c r="C202" s="168">
        <f>VLOOKUP($A201,'Orçamento Sintético'!$A:$H,8,0)</f>
        <v>8105.4</v>
      </c>
      <c r="D202" s="172">
        <f>ROUND($C202*D201,2)</f>
        <v>2026.35</v>
      </c>
      <c r="E202" s="172">
        <f>ROUND($C202*E201,2)</f>
        <v>2026.35</v>
      </c>
      <c r="F202" s="172">
        <f>C202-SUM(D202:E202)</f>
        <v>4052.7</v>
      </c>
    </row>
    <row r="203" spans="1:6" ht="12.75">
      <c r="A203" s="229" t="s">
        <v>796</v>
      </c>
      <c r="B203" s="225" t="str">
        <f>VLOOKUP($A203,'Orçamento Sintético'!$A:$H,4,0)</f>
        <v>Conjunto de metais para lavatório instalado em bancada de granito, inclusive torneira</v>
      </c>
      <c r="C203" s="167">
        <f>ROUND(C204/$F$452,4)</f>
        <v>0.0262</v>
      </c>
      <c r="D203" s="171"/>
      <c r="E203" s="171"/>
      <c r="F203" s="171">
        <f>1-SUM(D203:E203)</f>
        <v>1</v>
      </c>
    </row>
    <row r="204" spans="1:6" ht="12.75">
      <c r="A204" s="229"/>
      <c r="B204" s="226"/>
      <c r="C204" s="168">
        <f>VLOOKUP($A203,'Orçamento Sintético'!$A:$H,8,0)</f>
        <v>16087.4</v>
      </c>
      <c r="D204" s="172">
        <f>ROUND($C204*D203,2)</f>
        <v>0</v>
      </c>
      <c r="E204" s="172">
        <f>ROUND($C204*E203,2)</f>
        <v>0</v>
      </c>
      <c r="F204" s="172">
        <f>C204-SUM(D204:E204)</f>
        <v>16087.4</v>
      </c>
    </row>
    <row r="205" spans="1:6" ht="12.75">
      <c r="A205" s="229" t="s">
        <v>800</v>
      </c>
      <c r="B205" s="225" t="str">
        <f>VLOOKUP($A205,'Orçamento Sintético'!$A:$H,4,0)</f>
        <v>Copia da SINAPI (86903) - Lavatório com coluna suspensa (PCD), branco. Linha Vogue Plus, cód.:L51.17 (lavatório) e cód.: CS1.17 (coluna suspensa), fab. Deca</v>
      </c>
      <c r="C205" s="167">
        <f>ROUND(C206/$F$452,4)</f>
        <v>0.0038</v>
      </c>
      <c r="D205" s="171">
        <v>0.25</v>
      </c>
      <c r="E205" s="171">
        <v>0.25</v>
      </c>
      <c r="F205" s="171">
        <f>1-SUM(D205:E205)</f>
        <v>0.5</v>
      </c>
    </row>
    <row r="206" spans="1:6" ht="12.75">
      <c r="A206" s="229"/>
      <c r="B206" s="226"/>
      <c r="C206" s="168">
        <f>VLOOKUP($A205,'Orçamento Sintético'!$A:$H,8,0)</f>
        <v>2305.89</v>
      </c>
      <c r="D206" s="172">
        <f>ROUND($C206*D205,2)</f>
        <v>576.47</v>
      </c>
      <c r="E206" s="172">
        <f>ROUND($C206*E205,2)</f>
        <v>576.47</v>
      </c>
      <c r="F206" s="172">
        <f>C206-SUM(D206:E206)</f>
        <v>1152.9499999999998</v>
      </c>
    </row>
    <row r="207" spans="1:6" ht="12.75">
      <c r="A207" s="229" t="s">
        <v>803</v>
      </c>
      <c r="B207" s="225" t="str">
        <f>VLOOKUP($A207,'Orçamento Sintético'!$A:$H,4,0)</f>
        <v>Conjunto de metais para lavatório com coluna suspensa (PCD), inclusive torneira de mesa com alavanca</v>
      </c>
      <c r="C207" s="167">
        <f>ROUND(C208/$F$452,4)</f>
        <v>0.0054</v>
      </c>
      <c r="D207" s="171"/>
      <c r="E207" s="171"/>
      <c r="F207" s="171">
        <f>1-SUM(D207:E207)</f>
        <v>1</v>
      </c>
    </row>
    <row r="208" spans="1:6" ht="12.75">
      <c r="A208" s="229"/>
      <c r="B208" s="226"/>
      <c r="C208" s="168">
        <f>VLOOKUP($A207,'Orçamento Sintético'!$A:$H,8,0)</f>
        <v>3336.18</v>
      </c>
      <c r="D208" s="172">
        <f>ROUND($C208*D207,2)</f>
        <v>0</v>
      </c>
      <c r="E208" s="172">
        <f>ROUND($C208*E207,2)</f>
        <v>0</v>
      </c>
      <c r="F208" s="172">
        <f>C208-SUM(D208:E208)</f>
        <v>3336.18</v>
      </c>
    </row>
    <row r="209" spans="1:6" ht="12.75" customHeight="1">
      <c r="A209" s="229" t="s">
        <v>806</v>
      </c>
      <c r="B209" s="225" t="str">
        <f>VLOOKUP($A209,'Orçamento Sintético'!$A:$H,4,0)</f>
        <v>Copia da SINAPI (86914) - Torneira de parede uso geral com arejador, metálica com acabamento cromado, Linha Standard, cód. 1154.C39, fab. Deca</v>
      </c>
      <c r="C209" s="167">
        <f>ROUND(C210/$F$452,4)</f>
        <v>0.0035</v>
      </c>
      <c r="D209" s="171"/>
      <c r="E209" s="171"/>
      <c r="F209" s="171">
        <f>1-SUM(D209:E209)</f>
        <v>1</v>
      </c>
    </row>
    <row r="210" spans="1:6" ht="12.75" customHeight="1">
      <c r="A210" s="229"/>
      <c r="B210" s="226"/>
      <c r="C210" s="168">
        <f>VLOOKUP($A209,'Orçamento Sintético'!$A:$H,8,0)</f>
        <v>2179.04</v>
      </c>
      <c r="D210" s="172">
        <f>ROUND($C210*D209,2)</f>
        <v>0</v>
      </c>
      <c r="E210" s="172">
        <f>ROUND($C210*E209,2)</f>
        <v>0</v>
      </c>
      <c r="F210" s="172">
        <f>C210-SUM(D210:E210)</f>
        <v>2179.04</v>
      </c>
    </row>
    <row r="211" spans="1:6" ht="12.75">
      <c r="A211" s="229" t="s">
        <v>809</v>
      </c>
      <c r="B211" s="225" t="str">
        <f>VLOOKUP($A211,'Orçamento Sintético'!$A:$H,4,0)</f>
        <v>BARRA DE APOIO RETA, EM ALUMINIO, COMPRIMENTO 80 CM,  FIXADA NA PAREDE - FORNECIMENTO E INSTALAÇÃO. AF_01/2020</v>
      </c>
      <c r="C211" s="167">
        <f>ROUND(C212/$F$452,4)</f>
        <v>0.0034</v>
      </c>
      <c r="D211" s="171">
        <v>0.25</v>
      </c>
      <c r="E211" s="171">
        <v>0.25</v>
      </c>
      <c r="F211" s="171">
        <f>1-SUM(D211:E211)</f>
        <v>0.5</v>
      </c>
    </row>
    <row r="212" spans="1:6" ht="12.75">
      <c r="A212" s="229"/>
      <c r="B212" s="226"/>
      <c r="C212" s="168">
        <f>VLOOKUP($A211,'Orçamento Sintético'!$A:$H,8,0)</f>
        <v>2108.96</v>
      </c>
      <c r="D212" s="172">
        <f>ROUND($C212*D211,2)</f>
        <v>527.24</v>
      </c>
      <c r="E212" s="172">
        <f>ROUND($C212*E211,2)</f>
        <v>527.24</v>
      </c>
      <c r="F212" s="172">
        <f>C212-SUM(D212:E212)</f>
        <v>1054.48</v>
      </c>
    </row>
    <row r="213" spans="1:6" ht="12.75" customHeight="1">
      <c r="A213" s="229" t="s">
        <v>810</v>
      </c>
      <c r="B213" s="225" t="str">
        <f>VLOOKUP($A213,'Orçamento Sintético'!$A:$H,4,0)</f>
        <v>BARRA DE APOIO RETA, EM ALUMINIO, COMPRIMENTO 70 CM,  FIXADA NA PAREDE - FORNECIMENTO E INSTALAÇÃO. AF_01/2020</v>
      </c>
      <c r="C213" s="167">
        <f>ROUND(C214/$F$452,4)</f>
        <v>0.0052</v>
      </c>
      <c r="D213" s="171">
        <v>0.25</v>
      </c>
      <c r="E213" s="171">
        <v>0.25</v>
      </c>
      <c r="F213" s="171">
        <f>1-SUM(D213:E213)</f>
        <v>0.5</v>
      </c>
    </row>
    <row r="214" spans="1:6" ht="12.75" customHeight="1">
      <c r="A214" s="229"/>
      <c r="B214" s="226"/>
      <c r="C214" s="168">
        <f>VLOOKUP($A213,'Orçamento Sintético'!$A:$H,8,0)</f>
        <v>3173.72</v>
      </c>
      <c r="D214" s="172">
        <f>ROUND($C214*D213,2)</f>
        <v>793.43</v>
      </c>
      <c r="E214" s="172">
        <f>ROUND($C214*E213,2)</f>
        <v>793.43</v>
      </c>
      <c r="F214" s="172">
        <f>C214-SUM(D214:E214)</f>
        <v>1586.86</v>
      </c>
    </row>
    <row r="215" spans="1:6" ht="12.75" customHeight="1">
      <c r="A215" s="229" t="s">
        <v>811</v>
      </c>
      <c r="B215" s="225" t="str">
        <f>VLOOKUP($A215,'Orçamento Sintético'!$A:$H,4,0)</f>
        <v>Copia da SINAPI (100870) - Barra de apoio tubular reta 40cm, Ø31,75mm e=2mm, em alumínio, acabamento com pintura epóxi branca, Linha Acessibilidade, fab. Leve Vida</v>
      </c>
      <c r="C215" s="167">
        <f>ROUND(C216/$F$452,4)</f>
        <v>0.0024</v>
      </c>
      <c r="D215" s="171">
        <v>0.25</v>
      </c>
      <c r="E215" s="171">
        <v>0.25</v>
      </c>
      <c r="F215" s="171">
        <f>1-SUM(D215:E215)</f>
        <v>0.5</v>
      </c>
    </row>
    <row r="216" spans="1:6" ht="12.75">
      <c r="A216" s="229"/>
      <c r="B216" s="226"/>
      <c r="C216" s="168">
        <f>VLOOKUP($A215,'Orçamento Sintético'!$A:$H,8,0)</f>
        <v>1482.39</v>
      </c>
      <c r="D216" s="172">
        <f>ROUND($C216*D215,2)</f>
        <v>370.6</v>
      </c>
      <c r="E216" s="172">
        <f>ROUND($C216*E215,2)</f>
        <v>370.6</v>
      </c>
      <c r="F216" s="172">
        <f>C216-SUM(D216:E216)</f>
        <v>741.19</v>
      </c>
    </row>
    <row r="217" spans="1:6" ht="18.75" customHeight="1">
      <c r="A217" s="229" t="s">
        <v>814</v>
      </c>
      <c r="B217" s="225" t="str">
        <f>VLOOKUP($A217,'Orçamento Sintético'!$A:$H,4,0)</f>
        <v>Copia da SINAPI (100870) - Barra de apoio tubular curva de 30cm para lavatório, Ø31,75mm e=2mm, em alumínio, acabamento com pintura epóxi branca, Linha Acessibilidade, fab. Leve Vida</v>
      </c>
      <c r="C217" s="167">
        <f>ROUND(C218/$F$452,4)</f>
        <v>0.0006</v>
      </c>
      <c r="D217" s="171">
        <v>0.25</v>
      </c>
      <c r="E217" s="171">
        <v>0.25</v>
      </c>
      <c r="F217" s="171">
        <f>1-SUM(D217:E217)</f>
        <v>0.5</v>
      </c>
    </row>
    <row r="218" spans="1:6" ht="18.75" customHeight="1">
      <c r="A218" s="229"/>
      <c r="B218" s="226"/>
      <c r="C218" s="168">
        <f>VLOOKUP($A217,'Orçamento Sintético'!$A:$H,8,0)</f>
        <v>338.82</v>
      </c>
      <c r="D218" s="172">
        <f>ROUND($C218*D217,2)</f>
        <v>84.71</v>
      </c>
      <c r="E218" s="172">
        <f>ROUND($C218*E217,2)</f>
        <v>84.71</v>
      </c>
      <c r="F218" s="172">
        <f>C218-SUM(D218:E218)</f>
        <v>169.4</v>
      </c>
    </row>
    <row r="219" spans="1:6" ht="12.75">
      <c r="A219" s="229" t="s">
        <v>817</v>
      </c>
      <c r="B219" s="225" t="str">
        <f>VLOOKUP($A219,'Orçamento Sintético'!$A:$H,4,0)</f>
        <v>BARRA DE APOIO EM "L", EM ACO INOX POLIDO 80 X 80 CM, FIXADA NA PAREDE - FORNECIMENTO E INSTALACAO. AF_01/2020</v>
      </c>
      <c r="C219" s="167">
        <f>ROUND(C220/$F$452,4)</f>
        <v>0.0009</v>
      </c>
      <c r="D219" s="171">
        <v>0.25</v>
      </c>
      <c r="E219" s="171">
        <v>0.25</v>
      </c>
      <c r="F219" s="171">
        <f>1-SUM(D219:E219)</f>
        <v>0.5</v>
      </c>
    </row>
    <row r="220" spans="1:6" ht="12.75">
      <c r="A220" s="229"/>
      <c r="B220" s="226"/>
      <c r="C220" s="168">
        <f>VLOOKUP($A219,'Orçamento Sintético'!$A:$H,8,0)</f>
        <v>566.87</v>
      </c>
      <c r="D220" s="172">
        <f>ROUND($C220*D219,2)</f>
        <v>141.72</v>
      </c>
      <c r="E220" s="172">
        <f>ROUND($C220*E219,2)</f>
        <v>141.72</v>
      </c>
      <c r="F220" s="172">
        <f>C220-SUM(D220:E220)</f>
        <v>283.43</v>
      </c>
    </row>
    <row r="221" spans="1:6" ht="12.75" customHeight="1">
      <c r="A221" s="229" t="s">
        <v>818</v>
      </c>
      <c r="B221" s="225" t="str">
        <f>VLOOKUP($A221,'Orçamento Sintético'!$A:$H,4,0)</f>
        <v>BANCO ARTICULADO, EM ACO INOX, PARA PCD, FIXADO NA PAREDE - FORNECIMENTO E INSTALAÇÃO. AF_01/2020</v>
      </c>
      <c r="C221" s="167">
        <f>ROUND(C222/$F$452,4)</f>
        <v>0.0015</v>
      </c>
      <c r="D221" s="171">
        <v>0.5</v>
      </c>
      <c r="E221" s="171">
        <v>0.5</v>
      </c>
      <c r="F221" s="171">
        <f>1-SUM(D221:E221)</f>
        <v>0</v>
      </c>
    </row>
    <row r="222" spans="1:6" ht="12.75" customHeight="1">
      <c r="A222" s="229"/>
      <c r="B222" s="226"/>
      <c r="C222" s="168">
        <f>VLOOKUP($A221,'Orçamento Sintético'!$A:$H,8,0)</f>
        <v>901.16</v>
      </c>
      <c r="D222" s="172">
        <f>ROUND($C222*D221,2)</f>
        <v>450.58</v>
      </c>
      <c r="E222" s="172">
        <f>ROUND($C222*E221,2)</f>
        <v>450.58</v>
      </c>
      <c r="F222" s="172">
        <f>C222-SUM(D222:E222)</f>
        <v>0</v>
      </c>
    </row>
    <row r="223" spans="1:6" ht="12.75">
      <c r="A223" s="229" t="s">
        <v>819</v>
      </c>
      <c r="B223" s="225" t="str">
        <f>VLOOKUP($A223,'Orçamento Sintético'!$A:$H,4,0)</f>
        <v>CHUVEIRO ELÉTRICO COMUM CORPO PLÁSTICO, TIPO DUCHA  FORNECIMENTO E INSTALAÇÃO. AF_01/2020</v>
      </c>
      <c r="C223" s="167">
        <f>ROUND(C224/$F$452,4)</f>
        <v>0.0006</v>
      </c>
      <c r="D223" s="171"/>
      <c r="E223" s="171">
        <v>0.5</v>
      </c>
      <c r="F223" s="171">
        <f>1-SUM(D223:E223)</f>
        <v>0.5</v>
      </c>
    </row>
    <row r="224" spans="1:6" ht="12.75">
      <c r="A224" s="229"/>
      <c r="B224" s="226"/>
      <c r="C224" s="168">
        <f>VLOOKUP($A223,'Orçamento Sintético'!$A:$H,8,0)</f>
        <v>371</v>
      </c>
      <c r="D224" s="172">
        <f>ROUND($C224*D223,2)</f>
        <v>0</v>
      </c>
      <c r="E224" s="172">
        <f>ROUND($C224*E223,2)</f>
        <v>185.5</v>
      </c>
      <c r="F224" s="172">
        <f>C224-SUM(D224:E224)</f>
        <v>185.5</v>
      </c>
    </row>
    <row r="225" spans="1:6" ht="12.75" customHeight="1">
      <c r="A225" s="229" t="s">
        <v>820</v>
      </c>
      <c r="B225" s="225" t="str">
        <f>VLOOKUP($A225,'Orçamento Sintético'!$A:$H,4,0)</f>
        <v>Cópia da CPOS (49.11.140) - Ralo linear em alumínio com grelha, dimensões 46x900mm, com saída central vertical, anodizado fosco, fab. Sekabox / Sekapiso</v>
      </c>
      <c r="C225" s="167">
        <f>ROUND(C226/$F$452,4)</f>
        <v>0.0022</v>
      </c>
      <c r="D225" s="171"/>
      <c r="E225" s="171">
        <v>1</v>
      </c>
      <c r="F225" s="171">
        <f>1-SUM(D225:E225)</f>
        <v>0</v>
      </c>
    </row>
    <row r="226" spans="1:6" ht="12.75" customHeight="1">
      <c r="A226" s="229"/>
      <c r="B226" s="226"/>
      <c r="C226" s="168">
        <f>VLOOKUP($A225,'Orçamento Sintético'!$A:$H,8,0)</f>
        <v>1346.7</v>
      </c>
      <c r="D226" s="172">
        <f>ROUND($C226*D225,2)</f>
        <v>0</v>
      </c>
      <c r="E226" s="172">
        <f>ROUND($C226*E225,2)</f>
        <v>1346.7</v>
      </c>
      <c r="F226" s="172">
        <f>C226-SUM(D226:E226)</f>
        <v>0</v>
      </c>
    </row>
    <row r="227" spans="1:6" ht="12.75">
      <c r="A227" s="229" t="s">
        <v>823</v>
      </c>
      <c r="B227" s="225" t="str">
        <f>VLOOKUP($A227,'Orçamento Sintético'!$A:$H,4,0)</f>
        <v>Copia da SINAPI (86895) - Bancada para lavatório em granito Branco Itaúnas, largura 0,30m, com saia e rodabanca, inclusive mão francesa</v>
      </c>
      <c r="C227" s="167">
        <f>ROUND(C228/$F$452,4)</f>
        <v>0.0088</v>
      </c>
      <c r="D227" s="171"/>
      <c r="E227" s="171">
        <v>0.5</v>
      </c>
      <c r="F227" s="171">
        <f>1-SUM(D227:E227)</f>
        <v>0.5</v>
      </c>
    </row>
    <row r="228" spans="1:6" ht="12.75">
      <c r="A228" s="229"/>
      <c r="B228" s="226"/>
      <c r="C228" s="168">
        <f>VLOOKUP($A227,'Orçamento Sintético'!$A:$H,8,0)</f>
        <v>5408.91</v>
      </c>
      <c r="D228" s="172">
        <f>ROUND($C228*D227,2)</f>
        <v>0</v>
      </c>
      <c r="E228" s="172">
        <f>ROUND($C228*E227,2)</f>
        <v>2704.46</v>
      </c>
      <c r="F228" s="172">
        <f>C228-SUM(D228:E228)</f>
        <v>2704.45</v>
      </c>
    </row>
    <row r="229" spans="1:6" ht="12.75" customHeight="1">
      <c r="A229" s="229" t="s">
        <v>826</v>
      </c>
      <c r="B229" s="225" t="str">
        <f>VLOOKUP($A229,'Orçamento Sintético'!$A:$H,4,0)</f>
        <v>Copia da SINAPI (86895) - Mão de obra para instalação de bancada para lavatório em granito, largura 0,30m, com saia e rodabanca, inclusive massas</v>
      </c>
      <c r="C229" s="167">
        <f>ROUND(C230/$F$452,4)</f>
        <v>0.002</v>
      </c>
      <c r="D229" s="171">
        <v>0.5</v>
      </c>
      <c r="E229" s="171">
        <v>0.5</v>
      </c>
      <c r="F229" s="171">
        <f>1-SUM(D229:E229)</f>
        <v>0</v>
      </c>
    </row>
    <row r="230" spans="1:6" ht="12.75" customHeight="1">
      <c r="A230" s="229"/>
      <c r="B230" s="226"/>
      <c r="C230" s="168">
        <f>VLOOKUP($A229,'Orçamento Sintético'!$A:$H,8,0)</f>
        <v>1253.76</v>
      </c>
      <c r="D230" s="172">
        <f>ROUND($C230*D229,2)</f>
        <v>626.88</v>
      </c>
      <c r="E230" s="172">
        <f>ROUND($C230*E229,2)</f>
        <v>626.88</v>
      </c>
      <c r="F230" s="172">
        <f>C230-SUM(D230:E230)</f>
        <v>0</v>
      </c>
    </row>
    <row r="231" spans="1:6" ht="12.75">
      <c r="A231" s="229" t="s">
        <v>829</v>
      </c>
      <c r="B231" s="225" t="str">
        <f>VLOOKUP($A231,'Orçamento Sintético'!$A:$H,4,0)</f>
        <v>Copia da SINAPI (86895) - Mão de obra para instalação de prateleira ou banco em granito, L=0,30m, incluindo impermeabilização</v>
      </c>
      <c r="C231" s="167">
        <f>ROUND(C232/$F$452,4)</f>
        <v>0.001</v>
      </c>
      <c r="D231" s="171">
        <v>0.5</v>
      </c>
      <c r="E231" s="171">
        <v>0.5</v>
      </c>
      <c r="F231" s="171">
        <f>1-SUM(D231:E231)</f>
        <v>0</v>
      </c>
    </row>
    <row r="232" spans="1:6" ht="12.75">
      <c r="A232" s="229"/>
      <c r="B232" s="226"/>
      <c r="C232" s="168">
        <f>VLOOKUP($A231,'Orçamento Sintético'!$A:$H,8,0)</f>
        <v>623.56</v>
      </c>
      <c r="D232" s="172">
        <f>ROUND($C232*D231,2)</f>
        <v>311.78</v>
      </c>
      <c r="E232" s="172">
        <f>ROUND($C232*E231,2)</f>
        <v>311.78</v>
      </c>
      <c r="F232" s="172">
        <f>C232-SUM(D232:E232)</f>
        <v>0</v>
      </c>
    </row>
    <row r="233" spans="1:6" ht="12.75" customHeight="1">
      <c r="A233" s="229" t="s">
        <v>832</v>
      </c>
      <c r="B233" s="225" t="str">
        <f>VLOOKUP($A233,'Orçamento Sintético'!$A:$H,4,0)</f>
        <v>Elemento em granito para bancada - saia ou rodabanca - inclusive impermeabilização e massa</v>
      </c>
      <c r="C233" s="167">
        <f>ROUND(C234/$F$452,4)</f>
        <v>0.0018</v>
      </c>
      <c r="D233" s="171"/>
      <c r="E233" s="171"/>
      <c r="F233" s="171">
        <f>1-SUM(D233:E233)</f>
        <v>1</v>
      </c>
    </row>
    <row r="234" spans="1:6" ht="12.75" customHeight="1">
      <c r="A234" s="229"/>
      <c r="B234" s="226"/>
      <c r="C234" s="168">
        <f>VLOOKUP($A233,'Orçamento Sintético'!$A:$H,8,0)</f>
        <v>1102.68</v>
      </c>
      <c r="D234" s="172">
        <f>ROUND($C234*D233,2)</f>
        <v>0</v>
      </c>
      <c r="E234" s="172">
        <f>ROUND($C234*E233,2)</f>
        <v>0</v>
      </c>
      <c r="F234" s="172">
        <f>C234-SUM(D234:E234)</f>
        <v>1102.68</v>
      </c>
    </row>
    <row r="235" spans="1:6" ht="12.75">
      <c r="A235" s="229" t="s">
        <v>835</v>
      </c>
      <c r="B235" s="225" t="str">
        <f>VLOOKUP($A235,'Orçamento Sintético'!$A:$H,4,0)</f>
        <v>SUPORTE MÃO FRANCESA EM AÇO, ABAS IGUAIS 30 CM, CAPACIDADE MINIMA 60 KG, BRANCO - FORNECIMENTO E INSTALAÇÃO. AF_01/2020</v>
      </c>
      <c r="C235" s="167">
        <f>ROUND(C236/$F$452,4)</f>
        <v>0.002</v>
      </c>
      <c r="D235" s="171">
        <v>0.5</v>
      </c>
      <c r="E235" s="171">
        <v>0.5</v>
      </c>
      <c r="F235" s="171">
        <f>1-SUM(D235:E235)</f>
        <v>0</v>
      </c>
    </row>
    <row r="236" spans="1:6" ht="12.75">
      <c r="A236" s="229"/>
      <c r="B236" s="226"/>
      <c r="C236" s="168">
        <f>VLOOKUP($A235,'Orçamento Sintético'!$A:$H,8,0)</f>
        <v>1239.36</v>
      </c>
      <c r="D236" s="172">
        <f>ROUND($C236*D235,2)</f>
        <v>619.68</v>
      </c>
      <c r="E236" s="172">
        <f>ROUND($C236*E235,2)</f>
        <v>619.68</v>
      </c>
      <c r="F236" s="172">
        <f>C236-SUM(D236:E236)</f>
        <v>0</v>
      </c>
    </row>
    <row r="237" spans="1:6" ht="12.75" customHeight="1">
      <c r="A237" s="229" t="s">
        <v>836</v>
      </c>
      <c r="B237" s="225" t="str">
        <f>VLOOKUP($A237,'Orçamento Sintético'!$A:$H,4,0)</f>
        <v>Copia da SEINFRA (C4642) - Trocador de fraldas horizontal, retrátil, dimensões: 85x55x10cm, linha Clean Horizontal, marca Ampliando o Espaço</v>
      </c>
      <c r="C237" s="167">
        <f>ROUND(C238/$F$452,4)</f>
        <v>0.0026</v>
      </c>
      <c r="D237" s="171"/>
      <c r="E237" s="171"/>
      <c r="F237" s="171">
        <f>1-SUM(D237:E237)</f>
        <v>1</v>
      </c>
    </row>
    <row r="238" spans="1:6" ht="12.75" customHeight="1">
      <c r="A238" s="229"/>
      <c r="B238" s="226"/>
      <c r="C238" s="168">
        <f>VLOOKUP($A237,'Orçamento Sintético'!$A:$H,8,0)</f>
        <v>1611.86</v>
      </c>
      <c r="D238" s="172">
        <f>ROUND($C238*D237,2)</f>
        <v>0</v>
      </c>
      <c r="E238" s="172">
        <f>ROUND($C238*E237,2)</f>
        <v>0</v>
      </c>
      <c r="F238" s="172">
        <f>C238-SUM(D238:E238)</f>
        <v>1611.86</v>
      </c>
    </row>
    <row r="239" spans="1:6" ht="12.75">
      <c r="A239" s="229" t="s">
        <v>839</v>
      </c>
      <c r="B239" s="225" t="str">
        <f>VLOOKUP($A239,'Orçamento Sintético'!$A:$H,4,0)</f>
        <v>Copia da SEINFRA (C4642) - Trocador de fraldas vertical, retrátil, dimensões: 53x69x10cm, linha Ultra Clean, marca Ampliando Espaço</v>
      </c>
      <c r="C239" s="167">
        <f>ROUND(C240/$F$452,4)</f>
        <v>0.0025</v>
      </c>
      <c r="D239" s="171"/>
      <c r="E239" s="171"/>
      <c r="F239" s="171">
        <f>1-SUM(D239:E239)</f>
        <v>1</v>
      </c>
    </row>
    <row r="240" spans="1:6" ht="12.75">
      <c r="A240" s="229"/>
      <c r="B240" s="226"/>
      <c r="C240" s="168">
        <f>VLOOKUP($A239,'Orçamento Sintético'!$A:$H,8,0)</f>
        <v>1551.86</v>
      </c>
      <c r="D240" s="172">
        <f>ROUND($C240*D239,2)</f>
        <v>0</v>
      </c>
      <c r="E240" s="172">
        <f>ROUND($C240*E239,2)</f>
        <v>0</v>
      </c>
      <c r="F240" s="172">
        <f>C240-SUM(D240:E240)</f>
        <v>1551.86</v>
      </c>
    </row>
    <row r="241" spans="1:6" ht="12.75" customHeight="1">
      <c r="A241" s="229" t="s">
        <v>842</v>
      </c>
      <c r="B241" s="225" t="str">
        <f>VLOOKUP($A241,'Orçamento Sintético'!$A:$H,4,0)</f>
        <v>Cópia da AGETOP CIVIL (081760) - Grelha quadrada para ralo 10x10cm, em aço inox AISI 304, ref. 94535002, fab. Tramontina</v>
      </c>
      <c r="C241" s="167">
        <f>ROUND(C242/$F$452,4)</f>
        <v>0</v>
      </c>
      <c r="D241" s="171"/>
      <c r="E241" s="171"/>
      <c r="F241" s="171">
        <f>1-SUM(D241:E241)</f>
        <v>1</v>
      </c>
    </row>
    <row r="242" spans="1:6" ht="12.75" customHeight="1">
      <c r="A242" s="229"/>
      <c r="B242" s="226"/>
      <c r="C242" s="168">
        <f>VLOOKUP($A241,'Orçamento Sintético'!$A:$H,8,0)</f>
        <v>11.53</v>
      </c>
      <c r="D242" s="172">
        <f>ROUND($C242*D241,2)</f>
        <v>0</v>
      </c>
      <c r="E242" s="172">
        <f>ROUND($C242*E241,2)</f>
        <v>0</v>
      </c>
      <c r="F242" s="172">
        <f>C242-SUM(D242:E242)</f>
        <v>11.53</v>
      </c>
    </row>
    <row r="243" spans="1:6" ht="12.75">
      <c r="A243" s="229" t="s">
        <v>845</v>
      </c>
      <c r="B243" s="225" t="str">
        <f>VLOOKUP($A243,'Orçamento Sintético'!$A:$H,4,0)</f>
        <v>Cópia da AGETOP CIVIL (081761) - Grelha quadrada para ralo 15x15cm, em aço inox AISI 304, ref. 94535103, fab. Tramontina</v>
      </c>
      <c r="C243" s="167">
        <f>ROUND(C244/$F$452,4)</f>
        <v>0.0004</v>
      </c>
      <c r="D243" s="171"/>
      <c r="E243" s="171"/>
      <c r="F243" s="171">
        <f>1-SUM(D243:E243)</f>
        <v>1</v>
      </c>
    </row>
    <row r="244" spans="1:6" ht="12.75">
      <c r="A244" s="229"/>
      <c r="B244" s="226"/>
      <c r="C244" s="168">
        <f>VLOOKUP($A243,'Orçamento Sintético'!$A:$H,8,0)</f>
        <v>254.22</v>
      </c>
      <c r="D244" s="172">
        <f>ROUND($C244*D243,2)</f>
        <v>0</v>
      </c>
      <c r="E244" s="172">
        <f>ROUND($C244*E243,2)</f>
        <v>0</v>
      </c>
      <c r="F244" s="172">
        <f>C244-SUM(D244:E244)</f>
        <v>254.22</v>
      </c>
    </row>
    <row r="245" spans="1:6" ht="12.75" customHeight="1">
      <c r="A245" s="229" t="s">
        <v>848</v>
      </c>
      <c r="B245" s="225" t="str">
        <f>VLOOKUP($A245,'Orçamento Sintético'!$A:$H,4,0)</f>
        <v>Copia da SBC (190085) - Cabide para divisória, em inox escovado, linha Alcoplac Normatizado, Fab. Neocom</v>
      </c>
      <c r="C245" s="167">
        <f>ROUND(C246/$F$452,4)</f>
        <v>0.0114</v>
      </c>
      <c r="D245" s="171"/>
      <c r="E245" s="171"/>
      <c r="F245" s="171">
        <f>1-SUM(D245:E245)</f>
        <v>1</v>
      </c>
    </row>
    <row r="246" spans="1:6" ht="12.75" customHeight="1">
      <c r="A246" s="229"/>
      <c r="B246" s="226"/>
      <c r="C246" s="168">
        <f>VLOOKUP($A245,'Orçamento Sintético'!$A:$H,8,0)</f>
        <v>6988.4</v>
      </c>
      <c r="D246" s="172">
        <f>ROUND($C246*D245,2)</f>
        <v>0</v>
      </c>
      <c r="E246" s="172">
        <f>ROUND($C246*E245,2)</f>
        <v>0</v>
      </c>
      <c r="F246" s="172">
        <f>C246-SUM(D246:E246)</f>
        <v>6988.4</v>
      </c>
    </row>
    <row r="247" spans="1:6" ht="12.75">
      <c r="A247" s="229" t="s">
        <v>851</v>
      </c>
      <c r="B247" s="225" t="str">
        <f>VLOOKUP($A247,'Orçamento Sintético'!$A:$H,4,0)</f>
        <v>Copia da ORSE (1777) - Porta objetos em laminado melamínico (0,15 x 0,4 m), cor Polar L190, linha Alcoplac Normatizado, Fab. Neocom</v>
      </c>
      <c r="C247" s="167">
        <f>ROUND(C248/$F$452,4)</f>
        <v>0.0281</v>
      </c>
      <c r="D247" s="171"/>
      <c r="E247" s="171"/>
      <c r="F247" s="171">
        <f>1-SUM(D247:E247)</f>
        <v>1</v>
      </c>
    </row>
    <row r="248" spans="1:6" ht="12.75">
      <c r="A248" s="229"/>
      <c r="B248" s="226"/>
      <c r="C248" s="168">
        <f>VLOOKUP($A247,'Orçamento Sintético'!$A:$H,8,0)</f>
        <v>17255.28</v>
      </c>
      <c r="D248" s="172">
        <f>ROUND($C248*D247,2)</f>
        <v>0</v>
      </c>
      <c r="E248" s="172">
        <f>ROUND($C248*E247,2)</f>
        <v>0</v>
      </c>
      <c r="F248" s="172">
        <f>C248-SUM(D248:E248)</f>
        <v>17255.28</v>
      </c>
    </row>
    <row r="249" spans="1:6" ht="12.75" customHeight="1">
      <c r="A249" s="227" t="s">
        <v>854</v>
      </c>
      <c r="B249" s="227" t="str">
        <f>VLOOKUP($A249,'Orçamento Sintético'!$A:$H,4,0)</f>
        <v>de cozinha, copa e lavanderia</v>
      </c>
      <c r="C249" s="169">
        <f>ROUND(C250/$F$452,4)</f>
        <v>0.0105</v>
      </c>
      <c r="D249" s="169">
        <f>ROUND(D250/$C250,4)</f>
        <v>0</v>
      </c>
      <c r="E249" s="169">
        <f>ROUND(E250/$C250,4)</f>
        <v>1</v>
      </c>
      <c r="F249" s="169">
        <f>ROUND(F250/$C250,4)</f>
        <v>0</v>
      </c>
    </row>
    <row r="250" spans="1:6" ht="12.75" customHeight="1">
      <c r="A250" s="228"/>
      <c r="B250" s="228"/>
      <c r="C250" s="170">
        <f>VLOOKUP($A249,'Orçamento Sintético'!$A:$H,8,0)</f>
        <v>6460.6</v>
      </c>
      <c r="D250" s="170">
        <f>D252+D254+D256+D258</f>
        <v>0</v>
      </c>
      <c r="E250" s="170">
        <f>E252+E254+E256+E258</f>
        <v>6460.6</v>
      </c>
      <c r="F250" s="170">
        <f>F252+F254+F256+F258</f>
        <v>0</v>
      </c>
    </row>
    <row r="251" spans="1:6" ht="12.75">
      <c r="A251" s="229" t="s">
        <v>856</v>
      </c>
      <c r="B251" s="225" t="str">
        <f>VLOOKUP($A251,'Orçamento Sintético'!$A:$H,4,0)</f>
        <v>Copia da SINAPI (86872) - Tanque de louça 40 litros com coluna e acessórios de metal, cor branco gelo GE17, cód. TQ.03 (tanque) e CT25 (coluna), fab. Deca - completo</v>
      </c>
      <c r="C251" s="167">
        <f>ROUND(C252/$F$452,4)</f>
        <v>0.0019</v>
      </c>
      <c r="D251" s="171"/>
      <c r="E251" s="171">
        <v>1</v>
      </c>
      <c r="F251" s="171">
        <f>1-SUM(D251:E251)</f>
        <v>0</v>
      </c>
    </row>
    <row r="252" spans="1:6" ht="12.75">
      <c r="A252" s="229"/>
      <c r="B252" s="226"/>
      <c r="C252" s="168">
        <f>VLOOKUP($A251,'Orçamento Sintético'!$A:$H,8,0)</f>
        <v>1170.74</v>
      </c>
      <c r="D252" s="172">
        <f>ROUND($C252*D251,2)</f>
        <v>0</v>
      </c>
      <c r="E252" s="172">
        <f>ROUND($C252*E251,2)</f>
        <v>1170.74</v>
      </c>
      <c r="F252" s="172">
        <f>C252-SUM(D252:E252)</f>
        <v>0</v>
      </c>
    </row>
    <row r="253" spans="1:6" ht="12.75" customHeight="1">
      <c r="A253" s="229" t="s">
        <v>859</v>
      </c>
      <c r="B253" s="225" t="str">
        <f>VLOOKUP($A253,'Orçamento Sintético'!$A:$H,4,0)</f>
        <v>Copia da SINAPI (86900) - Cuba de aço inox, DM 34x56x17 cm, linha Prime, mod. Retangular BL, ref. 94024206, fab. Tramontina, inclusive furo e colagem</v>
      </c>
      <c r="C253" s="167">
        <f>ROUND(C254/$F$452,4)</f>
        <v>0.0007</v>
      </c>
      <c r="D253" s="171"/>
      <c r="E253" s="171">
        <v>1</v>
      </c>
      <c r="F253" s="171">
        <f>1-SUM(D253:E253)</f>
        <v>0</v>
      </c>
    </row>
    <row r="254" spans="1:6" ht="12.75" customHeight="1">
      <c r="A254" s="229"/>
      <c r="B254" s="226"/>
      <c r="C254" s="168">
        <f>VLOOKUP($A253,'Orçamento Sintético'!$A:$H,8,0)</f>
        <v>447.07</v>
      </c>
      <c r="D254" s="172">
        <f>ROUND($C254*D253,2)</f>
        <v>0</v>
      </c>
      <c r="E254" s="172">
        <f>ROUND($C254*E253,2)</f>
        <v>447.07</v>
      </c>
      <c r="F254" s="172">
        <f>C254-SUM(D254:E254)</f>
        <v>0</v>
      </c>
    </row>
    <row r="255" spans="1:6" ht="12.75">
      <c r="A255" s="229" t="s">
        <v>862</v>
      </c>
      <c r="B255" s="225" t="str">
        <f>VLOOKUP($A255,'Orçamento Sintético'!$A:$H,4,0)</f>
        <v>Conjunto de metais para pia com cuba inox, inclusive torneira</v>
      </c>
      <c r="C255" s="167">
        <f>ROUND(C256/$F$452,4)</f>
        <v>0.001</v>
      </c>
      <c r="D255" s="171"/>
      <c r="E255" s="171">
        <v>1</v>
      </c>
      <c r="F255" s="171">
        <f>1-SUM(D255:E255)</f>
        <v>0</v>
      </c>
    </row>
    <row r="256" spans="1:6" ht="12.75">
      <c r="A256" s="229"/>
      <c r="B256" s="226"/>
      <c r="C256" s="168">
        <f>VLOOKUP($A255,'Orçamento Sintético'!$A:$H,8,0)</f>
        <v>631.91</v>
      </c>
      <c r="D256" s="172">
        <f>ROUND($C256*D255,2)</f>
        <v>0</v>
      </c>
      <c r="E256" s="172">
        <f>ROUND($C256*E255,2)</f>
        <v>631.91</v>
      </c>
      <c r="F256" s="172">
        <f>C256-SUM(D256:E256)</f>
        <v>0</v>
      </c>
    </row>
    <row r="257" spans="1:6" ht="12.75" customHeight="1">
      <c r="A257" s="229" t="s">
        <v>865</v>
      </c>
      <c r="B257" s="225" t="str">
        <f>VLOOKUP($A257,'Orçamento Sintético'!$A:$H,4,0)</f>
        <v>Copia da SINAPI (86895) -  Bancada para copa/ refeitório em granito Preto São Gabriel, largura 0,55m, com saia e rodabanca, inclusive mão francesa</v>
      </c>
      <c r="C257" s="167">
        <f>ROUND(C258/$F$452,4)</f>
        <v>0.0069</v>
      </c>
      <c r="D257" s="171"/>
      <c r="E257" s="171">
        <v>1</v>
      </c>
      <c r="F257" s="171">
        <f>1-SUM(D257:E257)</f>
        <v>0</v>
      </c>
    </row>
    <row r="258" spans="1:6" ht="12.75" customHeight="1">
      <c r="A258" s="229"/>
      <c r="B258" s="226"/>
      <c r="C258" s="168">
        <f>VLOOKUP($A257,'Orçamento Sintético'!$A:$H,8,0)</f>
        <v>4210.88</v>
      </c>
      <c r="D258" s="172">
        <f>ROUND($C258*D257,2)</f>
        <v>0</v>
      </c>
      <c r="E258" s="172">
        <f>ROUND($C258*E257,2)</f>
        <v>4210.88</v>
      </c>
      <c r="F258" s="172">
        <f>C258-SUM(D258:E258)</f>
        <v>0</v>
      </c>
    </row>
    <row r="259" spans="1:6" ht="12.75">
      <c r="A259" s="238" t="s">
        <v>126</v>
      </c>
      <c r="B259" s="235" t="str">
        <f>VLOOKUP($A259,'Orçamento Sintético'!$A:$H,4,0)</f>
        <v>INSTALAÇÕES ELÉTRICAS E ELETRÔNICAS</v>
      </c>
      <c r="C259" s="161">
        <f>ROUND(C260/$F$452,4)</f>
        <v>0.1037</v>
      </c>
      <c r="D259" s="162">
        <f>ROUND(D260/$C260,4)</f>
        <v>0.1778</v>
      </c>
      <c r="E259" s="162">
        <f>ROUND(E260/$C260,4)</f>
        <v>0.4716</v>
      </c>
      <c r="F259" s="162">
        <f>ROUND(F260/$C260,4)</f>
        <v>0.3506</v>
      </c>
    </row>
    <row r="260" spans="1:6" ht="12.75">
      <c r="A260" s="238"/>
      <c r="B260" s="235"/>
      <c r="C260" s="163">
        <f>VLOOKUP($A259,'Orçamento Sintético'!$A:$H,8,0)</f>
        <v>63696.80999999999</v>
      </c>
      <c r="D260" s="164">
        <f>D262</f>
        <v>11327.92</v>
      </c>
      <c r="E260" s="164">
        <f>E262</f>
        <v>30038.239999999998</v>
      </c>
      <c r="F260" s="164">
        <f>F262</f>
        <v>22330.65</v>
      </c>
    </row>
    <row r="261" spans="1:6" ht="12.75" customHeight="1">
      <c r="A261" s="227" t="s">
        <v>868</v>
      </c>
      <c r="B261" s="227" t="str">
        <f>VLOOKUP($A261,'Orçamento Sintético'!$A:$H,4,0)</f>
        <v>INSTALAÇÕES ELÉTRICAS</v>
      </c>
      <c r="C261" s="165">
        <f>ROUND(C262/$F$452,4)</f>
        <v>0.1037</v>
      </c>
      <c r="D261" s="165">
        <f>ROUND(D262/$C262,4)</f>
        <v>0.1778</v>
      </c>
      <c r="E261" s="165">
        <f>ROUND(E262/$C262,4)</f>
        <v>0.4716</v>
      </c>
      <c r="F261" s="165">
        <f>ROUND(F262/$C262,4)</f>
        <v>0.3506</v>
      </c>
    </row>
    <row r="262" spans="1:6" ht="12.75" customHeight="1">
      <c r="A262" s="228"/>
      <c r="B262" s="228"/>
      <c r="C262" s="166">
        <f>VLOOKUP($A261,'Orçamento Sintético'!$A:$H,8,0)</f>
        <v>63696.80999999999</v>
      </c>
      <c r="D262" s="166">
        <f>D264+D274</f>
        <v>11327.92</v>
      </c>
      <c r="E262" s="166">
        <f>E264+E274</f>
        <v>30038.239999999998</v>
      </c>
      <c r="F262" s="166">
        <f>F264+F274</f>
        <v>22330.65</v>
      </c>
    </row>
    <row r="263" spans="1:6" ht="12.75">
      <c r="A263" s="227" t="s">
        <v>869</v>
      </c>
      <c r="B263" s="227" t="str">
        <f>VLOOKUP($A263,'Orçamento Sintético'!$A:$H,4,0)</f>
        <v>Rede Elétrica Primária</v>
      </c>
      <c r="C263" s="169">
        <f>ROUND(C264/$F$452,4)</f>
        <v>0.0181</v>
      </c>
      <c r="D263" s="169">
        <f>ROUND(D264/$C264,4)</f>
        <v>0.237</v>
      </c>
      <c r="E263" s="169">
        <f>ROUND(E264/$C264,4)</f>
        <v>0.2782</v>
      </c>
      <c r="F263" s="169">
        <f>ROUND(F264/$C264,4)</f>
        <v>0.4849</v>
      </c>
    </row>
    <row r="264" spans="1:6" ht="12.75">
      <c r="A264" s="228"/>
      <c r="B264" s="228"/>
      <c r="C264" s="170">
        <f>VLOOKUP($A263,'Orçamento Sintético'!$A:$H,8,0)</f>
        <v>11122.169999999998</v>
      </c>
      <c r="D264" s="170">
        <f>D266+D268+D270+D272</f>
        <v>2635.4599999999996</v>
      </c>
      <c r="E264" s="170">
        <f>E266+E268+E270+E272</f>
        <v>3093.74</v>
      </c>
      <c r="F264" s="170">
        <f>F266+F268+F270+F272</f>
        <v>5392.969999999999</v>
      </c>
    </row>
    <row r="265" spans="1:6" ht="12.75" customHeight="1">
      <c r="A265" s="229" t="s">
        <v>871</v>
      </c>
      <c r="B265" s="225" t="str">
        <f>VLOOKUP($A265,'Orçamento Sintético'!$A:$H,4,0)</f>
        <v>Quadro QT-N-SS - PJDIJ e PJSA</v>
      </c>
      <c r="C265" s="167">
        <f>ROUND(C266/$F$452,4)</f>
        <v>0.0146</v>
      </c>
      <c r="D265" s="171">
        <v>0.15</v>
      </c>
      <c r="E265" s="171">
        <v>0.25</v>
      </c>
      <c r="F265" s="171">
        <f>1-SUM(D265:E265)</f>
        <v>0.6</v>
      </c>
    </row>
    <row r="266" spans="1:6" ht="12.75" customHeight="1">
      <c r="A266" s="229"/>
      <c r="B266" s="226"/>
      <c r="C266" s="168">
        <f>VLOOKUP($A265,'Orçamento Sintético'!$A:$H,8,0)</f>
        <v>8988.3</v>
      </c>
      <c r="D266" s="172">
        <f>ROUND($C266*D265,2)</f>
        <v>1348.25</v>
      </c>
      <c r="E266" s="172">
        <f>ROUND($C266*E265,2)</f>
        <v>2247.08</v>
      </c>
      <c r="F266" s="172">
        <f>C266-SUM(D266:E266)</f>
        <v>5392.969999999999</v>
      </c>
    </row>
    <row r="267" spans="1:6" ht="12.75">
      <c r="A267" s="229" t="s">
        <v>873</v>
      </c>
      <c r="B267" s="225" t="str">
        <f>VLOOKUP($A267,'Orçamento Sintético'!$A:$H,4,0)</f>
        <v>CABO DE COBRE FLEXÍVEL ISOLADO, 10 MM², ANTI-CHAMA 0,6/1,0 KV, PARA DISTRIBUIÇÃO - FORNECIMENTO E INSTALAÇÃO. AF_12/2015</v>
      </c>
      <c r="C267" s="167">
        <f>ROUND(C268/$F$452,4)</f>
        <v>0.0028</v>
      </c>
      <c r="D267" s="171">
        <v>0.5</v>
      </c>
      <c r="E267" s="171">
        <v>0.5</v>
      </c>
      <c r="F267" s="171">
        <f>1-SUM(D267:E267)</f>
        <v>0</v>
      </c>
    </row>
    <row r="268" spans="1:6" ht="12.75">
      <c r="A268" s="229"/>
      <c r="B268" s="226"/>
      <c r="C268" s="168">
        <f>VLOOKUP($A267,'Orçamento Sintético'!$A:$H,8,0)</f>
        <v>1693.32</v>
      </c>
      <c r="D268" s="172">
        <f>ROUND($C268*D267,2)</f>
        <v>846.66</v>
      </c>
      <c r="E268" s="172">
        <f>ROUND($C268*E267,2)</f>
        <v>846.66</v>
      </c>
      <c r="F268" s="172">
        <f>C268-SUM(D268:E268)</f>
        <v>0</v>
      </c>
    </row>
    <row r="269" spans="1:6" ht="12.75" customHeight="1">
      <c r="A269" s="229" t="s">
        <v>874</v>
      </c>
      <c r="B269" s="225" t="str">
        <f>VLOOKUP($A269,'Orçamento Sintético'!$A:$H,4,0)</f>
        <v>ELETRODUTO RÍGIDO SOLDÁVEL, PVC, DN 32 MM (1), APARENTE, INSTALADO EM PAREDE - FORNECIMENTO E INSTALAÇÃO. AF_11/2016_P</v>
      </c>
      <c r="C269" s="167">
        <f>ROUND(C270/$F$452,4)</f>
        <v>0.0005</v>
      </c>
      <c r="D269" s="171">
        <v>1</v>
      </c>
      <c r="E269" s="171"/>
      <c r="F269" s="171">
        <f>1-SUM(D269:E269)</f>
        <v>0</v>
      </c>
    </row>
    <row r="270" spans="1:6" ht="12.75" customHeight="1">
      <c r="A270" s="229"/>
      <c r="B270" s="226"/>
      <c r="C270" s="168">
        <f>VLOOKUP($A269,'Orçamento Sintético'!$A:$H,8,0)</f>
        <v>332.64</v>
      </c>
      <c r="D270" s="172">
        <f>ROUND($C270*D269,2)</f>
        <v>332.64</v>
      </c>
      <c r="E270" s="172">
        <f>ROUND($C270*E269,2)</f>
        <v>0</v>
      </c>
      <c r="F270" s="172">
        <f>C270-SUM(D270:E270)</f>
        <v>0</v>
      </c>
    </row>
    <row r="271" spans="1:6" ht="12.75">
      <c r="A271" s="229" t="s">
        <v>875</v>
      </c>
      <c r="B271" s="225" t="str">
        <f>VLOOKUP($A271,'Orçamento Sintético'!$A:$H,4,0)</f>
        <v>CONDULETE DE PVC, TIPO LL, PARA ELETRODUTO DE PVC SOLDÁVEL DN 32 MM (1''), APARENTE - FORNECIMENTO E INSTALAÇÃO. AF_11/2016</v>
      </c>
      <c r="C271" s="167">
        <f>ROUND(C272/$F$452,4)</f>
        <v>0.0002</v>
      </c>
      <c r="D271" s="171">
        <v>1</v>
      </c>
      <c r="E271" s="171"/>
      <c r="F271" s="171">
        <f>1-SUM(D271:E271)</f>
        <v>0</v>
      </c>
    </row>
    <row r="272" spans="1:6" ht="12.75">
      <c r="A272" s="229"/>
      <c r="B272" s="226"/>
      <c r="C272" s="168">
        <f>VLOOKUP($A271,'Orçamento Sintético'!$A:$H,8,0)</f>
        <v>107.91</v>
      </c>
      <c r="D272" s="172">
        <f>ROUND($C272*D271,2)</f>
        <v>107.91</v>
      </c>
      <c r="E272" s="172">
        <f>ROUND($C272*E271,2)</f>
        <v>0</v>
      </c>
      <c r="F272" s="172">
        <f>C272-SUM(D272:E272)</f>
        <v>0</v>
      </c>
    </row>
    <row r="273" spans="1:6" ht="12.75" customHeight="1">
      <c r="A273" s="227" t="s">
        <v>876</v>
      </c>
      <c r="B273" s="227" t="str">
        <f>VLOOKUP($A273,'Orçamento Sintético'!$A:$H,4,0)</f>
        <v>Rede Elétrica Secundária</v>
      </c>
      <c r="C273" s="169">
        <f>ROUND(C274/$F$452,4)</f>
        <v>0.0856</v>
      </c>
      <c r="D273" s="169">
        <f>ROUND(D274/$C274,4)</f>
        <v>0.1653</v>
      </c>
      <c r="E273" s="169">
        <f>ROUND(E274/$C274,4)</f>
        <v>0.5125</v>
      </c>
      <c r="F273" s="169">
        <f>ROUND(F274/$C274,4)</f>
        <v>0.3222</v>
      </c>
    </row>
    <row r="274" spans="1:6" ht="12.75" customHeight="1">
      <c r="A274" s="228"/>
      <c r="B274" s="228"/>
      <c r="C274" s="170">
        <f>VLOOKUP($A273,'Orçamento Sintético'!$A:$H,8,0)</f>
        <v>52574.63999999999</v>
      </c>
      <c r="D274" s="170">
        <f>D276+D278+D280+D282+D284+D286+D288+D290+D292+D294+D296+D298+D300+D302+D304+D306</f>
        <v>8692.460000000001</v>
      </c>
      <c r="E274" s="170">
        <f>E276+E278+E280+E282+E284+E286+E288+E290+E292+E294+E296+E298+E300+E302+E304+E306</f>
        <v>26944.5</v>
      </c>
      <c r="F274" s="170">
        <f>F276+F278+F280+F282+F284+F286+F288+F290+F292+F294+F296+F298+F300+F302+F304+F306</f>
        <v>16937.68</v>
      </c>
    </row>
    <row r="275" spans="1:6" ht="12.75">
      <c r="A275" s="229" t="s">
        <v>878</v>
      </c>
      <c r="B275" s="225" t="str">
        <f>VLOOKUP($A275,'Orçamento Sintético'!$A:$H,4,0)</f>
        <v>CABO DE COBRE FLEXÍVEL ISOLADO, 2,5 MM², ANTI-CHAMA 450/750 V, PARA CIRCUITOS TERMINAIS - FORNECIMENTO E INSTALAÇÃO. AF_12/2015</v>
      </c>
      <c r="C275" s="167">
        <f>ROUND(C276/$F$452,4)</f>
        <v>0.0042</v>
      </c>
      <c r="D275" s="171">
        <v>0.5</v>
      </c>
      <c r="E275" s="171">
        <v>0.5</v>
      </c>
      <c r="F275" s="171">
        <f>1-SUM(D275:E275)</f>
        <v>0</v>
      </c>
    </row>
    <row r="276" spans="1:6" ht="12.75">
      <c r="A276" s="229"/>
      <c r="B276" s="226"/>
      <c r="C276" s="168">
        <f>VLOOKUP($A275,'Orçamento Sintético'!$A:$H,8,0)</f>
        <v>2589.34</v>
      </c>
      <c r="D276" s="172">
        <f>ROUND($C276*D275,2)</f>
        <v>1294.67</v>
      </c>
      <c r="E276" s="172">
        <f>ROUND($C276*E275,2)</f>
        <v>1294.67</v>
      </c>
      <c r="F276" s="172">
        <f>C276-SUM(D276:E276)</f>
        <v>0</v>
      </c>
    </row>
    <row r="277" spans="1:6" ht="12.75" customHeight="1">
      <c r="A277" s="229" t="s">
        <v>879</v>
      </c>
      <c r="B277" s="225" t="str">
        <f>VLOOKUP($A277,'Orçamento Sintético'!$A:$H,4,0)</f>
        <v>CABO DE COBRE FLEXÍVEL ISOLADO, 6 MM², ANTI-CHAMA 450/750 V, PARA CIRCUITOS TERMINAIS - FORNECIMENTO E INSTALAÇÃO. AF_12/2015</v>
      </c>
      <c r="C277" s="167">
        <f>ROUND(C278/$F$452,4)</f>
        <v>0.0121</v>
      </c>
      <c r="D277" s="171">
        <v>0.5</v>
      </c>
      <c r="E277" s="171">
        <v>0.5</v>
      </c>
      <c r="F277" s="171">
        <f>1-SUM(D277:E277)</f>
        <v>0</v>
      </c>
    </row>
    <row r="278" spans="1:6" ht="12.75" customHeight="1">
      <c r="A278" s="229"/>
      <c r="B278" s="226"/>
      <c r="C278" s="168">
        <f>VLOOKUP($A277,'Orçamento Sintético'!$A:$H,8,0)</f>
        <v>7413.24</v>
      </c>
      <c r="D278" s="172">
        <f>ROUND($C278*D277,2)</f>
        <v>3706.62</v>
      </c>
      <c r="E278" s="172">
        <f>ROUND($C278*E277,2)</f>
        <v>3706.62</v>
      </c>
      <c r="F278" s="172">
        <f>C278-SUM(D278:E278)</f>
        <v>0</v>
      </c>
    </row>
    <row r="279" spans="1:6" ht="12.75">
      <c r="A279" s="229" t="s">
        <v>880</v>
      </c>
      <c r="B279" s="225" t="str">
        <f>VLOOKUP($A279,'Orçamento Sintético'!$A:$H,4,0)</f>
        <v>CABO DE COBRE FLEXÍVEL ISOLADO, 2,5 MM², ANTI-CHAMA 0,6/1,0 KV, PARA CIRCUITOS TERMINAIS - FORNECIMENTO E INSTALAÇÃO. AF_12/2015</v>
      </c>
      <c r="C279" s="167">
        <f>ROUND(C280/$F$452,4)</f>
        <v>0.0008</v>
      </c>
      <c r="D279" s="171">
        <v>0.5</v>
      </c>
      <c r="E279" s="171">
        <v>0.5</v>
      </c>
      <c r="F279" s="171">
        <f>1-SUM(D279:E279)</f>
        <v>0</v>
      </c>
    </row>
    <row r="280" spans="1:6" ht="12.75">
      <c r="A280" s="229"/>
      <c r="B280" s="226"/>
      <c r="C280" s="168">
        <f>VLOOKUP($A279,'Orçamento Sintético'!$A:$H,8,0)</f>
        <v>485.52</v>
      </c>
      <c r="D280" s="172">
        <f>ROUND($C280*D279,2)</f>
        <v>242.76</v>
      </c>
      <c r="E280" s="172">
        <f>ROUND($C280*E279,2)</f>
        <v>242.76</v>
      </c>
      <c r="F280" s="172">
        <f>C280-SUM(D280:E280)</f>
        <v>0</v>
      </c>
    </row>
    <row r="281" spans="1:6" ht="12.75" customHeight="1">
      <c r="A281" s="229" t="s">
        <v>881</v>
      </c>
      <c r="B281" s="225" t="str">
        <f>VLOOKUP($A281,'Orçamento Sintético'!$A:$H,4,0)</f>
        <v>Copia da SINAPI (95727) - Eletroduto rígido soldável, PVC cor cinza, dn 25mm (3/4”), aparente, instalado em teto – fornecimento e instalação</v>
      </c>
      <c r="C281" s="167">
        <f>ROUND(C282/$F$452,4)</f>
        <v>0.0021</v>
      </c>
      <c r="D281" s="171">
        <v>1</v>
      </c>
      <c r="E281" s="171"/>
      <c r="F281" s="171">
        <f>1-SUM(D281:E281)</f>
        <v>0</v>
      </c>
    </row>
    <row r="282" spans="1:6" ht="12.75" customHeight="1">
      <c r="A282" s="229"/>
      <c r="B282" s="226"/>
      <c r="C282" s="168">
        <f>VLOOKUP($A281,'Orçamento Sintético'!$A:$H,8,0)</f>
        <v>1300.65</v>
      </c>
      <c r="D282" s="172">
        <f>ROUND($C282*D281,2)</f>
        <v>1300.65</v>
      </c>
      <c r="E282" s="172">
        <f>ROUND($C282*E281,2)</f>
        <v>0</v>
      </c>
      <c r="F282" s="172">
        <f>C282-SUM(D282:E282)</f>
        <v>0</v>
      </c>
    </row>
    <row r="283" spans="1:6" ht="12.75">
      <c r="A283" s="229" t="s">
        <v>884</v>
      </c>
      <c r="B283" s="225" t="str">
        <f>VLOOKUP($A283,'Orçamento Sintético'!$A:$H,4,0)</f>
        <v>Copia da SINAPI (95728) - Eletroduto rígido soldável, PVC cor cinza, dn 32mm (1”), aparente, instalado em teto – fornecimento e instalação</v>
      </c>
      <c r="C283" s="167">
        <f>ROUND(C284/$F$452,4)</f>
        <v>0.0022</v>
      </c>
      <c r="D283" s="171">
        <v>1</v>
      </c>
      <c r="E283" s="171"/>
      <c r="F283" s="171">
        <f>1-SUM(D283:E283)</f>
        <v>0</v>
      </c>
    </row>
    <row r="284" spans="1:6" ht="12.75">
      <c r="A284" s="229"/>
      <c r="B284" s="226"/>
      <c r="C284" s="168">
        <f>VLOOKUP($A283,'Orçamento Sintético'!$A:$H,8,0)</f>
        <v>1371</v>
      </c>
      <c r="D284" s="172">
        <f>ROUND($C284*D283,2)</f>
        <v>1371</v>
      </c>
      <c r="E284" s="172">
        <f>ROUND($C284*E283,2)</f>
        <v>0</v>
      </c>
      <c r="F284" s="172">
        <f>C284-SUM(D284:E284)</f>
        <v>0</v>
      </c>
    </row>
    <row r="285" spans="1:6" ht="12.75" customHeight="1">
      <c r="A285" s="229" t="s">
        <v>887</v>
      </c>
      <c r="B285" s="225" t="str">
        <f>VLOOKUP($A285,'Orçamento Sintético'!$A:$H,4,0)</f>
        <v>CONDULETE DE PVC, TIPO LB, PARA ELETRODUTO DE PVC SOLDÁVEL DN 25 MM (3/4</v>
      </c>
      <c r="C285" s="167">
        <f>ROUND(C286/$F$452,4)</f>
        <v>0.0001</v>
      </c>
      <c r="D285" s="171"/>
      <c r="E285" s="171">
        <v>1</v>
      </c>
      <c r="F285" s="171">
        <f>1-SUM(D285:E285)</f>
        <v>0</v>
      </c>
    </row>
    <row r="286" spans="1:6" ht="12.75" customHeight="1">
      <c r="A286" s="229"/>
      <c r="B286" s="226"/>
      <c r="C286" s="168">
        <f>VLOOKUP($A285,'Orçamento Sintético'!$A:$H,8,0)</f>
        <v>60.81</v>
      </c>
      <c r="D286" s="172">
        <f>ROUND($C286*D285,2)</f>
        <v>0</v>
      </c>
      <c r="E286" s="172">
        <f>ROUND($C286*E285,2)</f>
        <v>60.81</v>
      </c>
      <c r="F286" s="172">
        <f>C286-SUM(D286:E286)</f>
        <v>0</v>
      </c>
    </row>
    <row r="287" spans="1:6" ht="12.75">
      <c r="A287" s="229" t="s">
        <v>888</v>
      </c>
      <c r="B287" s="225" t="str">
        <f>VLOOKUP($A287,'Orçamento Sintético'!$A:$H,4,0)</f>
        <v>CONDULETE DE PVC, TIPO LB, PARA ELETRODUTO DE PVC SOLDÁVEL DN 32 MM (1</v>
      </c>
      <c r="C287" s="167">
        <f>ROUND(C288/$F$452,4)</f>
        <v>0.0002</v>
      </c>
      <c r="D287" s="171"/>
      <c r="E287" s="171">
        <v>1</v>
      </c>
      <c r="F287" s="171">
        <f>1-SUM(D287:E287)</f>
        <v>0</v>
      </c>
    </row>
    <row r="288" spans="1:6" ht="12.75">
      <c r="A288" s="229"/>
      <c r="B288" s="226"/>
      <c r="C288" s="168">
        <f>VLOOKUP($A287,'Orçamento Sintético'!$A:$H,8,0)</f>
        <v>95.08</v>
      </c>
      <c r="D288" s="172">
        <f>ROUND($C288*D287,2)</f>
        <v>0</v>
      </c>
      <c r="E288" s="172">
        <f>ROUND($C288*E287,2)</f>
        <v>95.08</v>
      </c>
      <c r="F288" s="172">
        <f>C288-SUM(D288:E288)</f>
        <v>0</v>
      </c>
    </row>
    <row r="289" spans="1:6" ht="12.75" customHeight="1">
      <c r="A289" s="229" t="s">
        <v>889</v>
      </c>
      <c r="B289" s="225" t="str">
        <f>VLOOKUP($A289,'Orçamento Sintético'!$A:$H,4,0)</f>
        <v>Cópia da CPOS (37.25.090) - Disjuntor tripolar caixa moldada 63A 50kA/380V Schneider LV429006+LV429032</v>
      </c>
      <c r="C289" s="167">
        <f>ROUND(C290/$F$452,4)</f>
        <v>0.0047</v>
      </c>
      <c r="D289" s="171"/>
      <c r="E289" s="171">
        <v>1</v>
      </c>
      <c r="F289" s="171">
        <f>1-SUM(D289:E289)</f>
        <v>0</v>
      </c>
    </row>
    <row r="290" spans="1:6" ht="12.75" customHeight="1">
      <c r="A290" s="229"/>
      <c r="B290" s="226"/>
      <c r="C290" s="168">
        <f>VLOOKUP($A289,'Orçamento Sintético'!$A:$H,8,0)</f>
        <v>2869.81</v>
      </c>
      <c r="D290" s="172">
        <f>ROUND($C290*D289,2)</f>
        <v>0</v>
      </c>
      <c r="E290" s="172">
        <f>ROUND($C290*E289,2)</f>
        <v>2869.81</v>
      </c>
      <c r="F290" s="172">
        <f>C290-SUM(D290:E290)</f>
        <v>0</v>
      </c>
    </row>
    <row r="291" spans="1:6" ht="12.75">
      <c r="A291" s="229" t="s">
        <v>892</v>
      </c>
      <c r="B291" s="225" t="str">
        <f>VLOOKUP($A291,'Orçamento Sintético'!$A:$H,4,0)</f>
        <v>INTERRUPTOR SIMPLES (1 MÓDULO) COM 1 TOMADA DE EMBUTIR 2P+T 10 A,  INCLUINDO SUPORTE E PLACA - FORNECIMENTO E INSTALAÇÃO. AF_12/2015</v>
      </c>
      <c r="C291" s="167">
        <f>ROUND(C292/$F$452,4)</f>
        <v>0.0011</v>
      </c>
      <c r="D291" s="171"/>
      <c r="E291" s="171">
        <v>1</v>
      </c>
      <c r="F291" s="171">
        <f>1-SUM(D291:E291)</f>
        <v>0</v>
      </c>
    </row>
    <row r="292" spans="1:6" ht="12.75">
      <c r="A292" s="229"/>
      <c r="B292" s="226"/>
      <c r="C292" s="168">
        <f>VLOOKUP($A291,'Orçamento Sintético'!$A:$H,8,0)</f>
        <v>705.18</v>
      </c>
      <c r="D292" s="172">
        <f>ROUND($C292*D291,2)</f>
        <v>0</v>
      </c>
      <c r="E292" s="172">
        <f>ROUND($C292*E291,2)</f>
        <v>705.18</v>
      </c>
      <c r="F292" s="172">
        <f>C292-SUM(D292:E292)</f>
        <v>0</v>
      </c>
    </row>
    <row r="293" spans="1:6" ht="12.75" customHeight="1">
      <c r="A293" s="229" t="s">
        <v>893</v>
      </c>
      <c r="B293" s="225" t="str">
        <f>VLOOKUP($A293,'Orçamento Sintético'!$A:$H,4,0)</f>
        <v>INTERRUPTOR SIMPLES (1 MÓDULO), 10A/250V, INCLUINDO SUPORTE E PLACA - FORNECIMENTO E INSTALAÇÃO. AF_12/2015</v>
      </c>
      <c r="C293" s="167">
        <f>ROUND(C294/$F$452,4)</f>
        <v>0</v>
      </c>
      <c r="D293" s="171"/>
      <c r="E293" s="171">
        <v>1</v>
      </c>
      <c r="F293" s="171">
        <f>1-SUM(D293:E293)</f>
        <v>0</v>
      </c>
    </row>
    <row r="294" spans="1:6" ht="12.75" customHeight="1">
      <c r="A294" s="229"/>
      <c r="B294" s="226"/>
      <c r="C294" s="168">
        <f>VLOOKUP($A293,'Orçamento Sintético'!$A:$H,8,0)</f>
        <v>28.62</v>
      </c>
      <c r="D294" s="172">
        <f>ROUND($C294*D293,2)</f>
        <v>0</v>
      </c>
      <c r="E294" s="172">
        <f>ROUND($C294*E293,2)</f>
        <v>28.62</v>
      </c>
      <c r="F294" s="172">
        <f>C294-SUM(D294:E294)</f>
        <v>0</v>
      </c>
    </row>
    <row r="295" spans="1:6" ht="12.75">
      <c r="A295" s="229" t="s">
        <v>894</v>
      </c>
      <c r="B295" s="225" t="str">
        <f>VLOOKUP($A295,'Orçamento Sintético'!$A:$H,4,0)</f>
        <v>CAIXA RETANGULAR 4" X 2" MÉDIA (1,30 M DO PISO), PVC, INSTALADA EM PAREDE - FORNECIMENTO E INSTALAÇÃO. AF_12/2015</v>
      </c>
      <c r="C295" s="167">
        <f>ROUND(C296/$F$452,4)</f>
        <v>0.0004</v>
      </c>
      <c r="D295" s="171"/>
      <c r="E295" s="171">
        <v>1</v>
      </c>
      <c r="F295" s="171">
        <f>1-SUM(D295:E295)</f>
        <v>0</v>
      </c>
    </row>
    <row r="296" spans="1:6" ht="12.75">
      <c r="A296" s="229"/>
      <c r="B296" s="226"/>
      <c r="C296" s="168">
        <f>VLOOKUP($A295,'Orçamento Sintético'!$A:$H,8,0)</f>
        <v>226.5</v>
      </c>
      <c r="D296" s="172">
        <f>ROUND($C296*D295,2)</f>
        <v>0</v>
      </c>
      <c r="E296" s="172">
        <f>ROUND($C296*E295,2)</f>
        <v>226.5</v>
      </c>
      <c r="F296" s="172">
        <f>C296-SUM(D296:E296)</f>
        <v>0</v>
      </c>
    </row>
    <row r="297" spans="1:6" ht="12.75" customHeight="1">
      <c r="A297" s="229" t="s">
        <v>895</v>
      </c>
      <c r="B297" s="225" t="str">
        <f>VLOOKUP($A297,'Orçamento Sintético'!$A:$H,4,0)</f>
        <v>Luminária circular de embutir, com difusor translúcido recuado, refletor multifacetado em alumínio anodizado  alto brilho LED EF45-E12000840, cor alumínio - Lumicenter LED Solution</v>
      </c>
      <c r="C297" s="167">
        <f>ROUND(C298/$F$452,4)</f>
        <v>0.0495</v>
      </c>
      <c r="D297" s="171"/>
      <c r="E297" s="171">
        <v>0.5</v>
      </c>
      <c r="F297" s="171">
        <f>1-SUM(D297:E297)</f>
        <v>0.5</v>
      </c>
    </row>
    <row r="298" spans="1:6" ht="12.75" customHeight="1">
      <c r="A298" s="229"/>
      <c r="B298" s="226"/>
      <c r="C298" s="168">
        <f>VLOOKUP($A297,'Orçamento Sintético'!$A:$H,8,0)</f>
        <v>30415.84</v>
      </c>
      <c r="D298" s="172">
        <f>ROUND($C298*D297,2)</f>
        <v>0</v>
      </c>
      <c r="E298" s="172">
        <f>ROUND($C298*E297,2)</f>
        <v>15207.92</v>
      </c>
      <c r="F298" s="172">
        <f>C298-SUM(D298:E298)</f>
        <v>15207.92</v>
      </c>
    </row>
    <row r="299" spans="1:6" ht="12.75">
      <c r="A299" s="229" t="s">
        <v>897</v>
      </c>
      <c r="B299" s="225" t="str">
        <f>VLOOKUP($A299,'Orçamento Sintético'!$A:$H,4,0)</f>
        <v>Cópia da SBC (062048) - Campainha de sinalização de emergência com acionador e sinaleira de porta para PCD - GRA branco.</v>
      </c>
      <c r="C299" s="167">
        <f>ROUND(C300/$F$452,4)</f>
        <v>0.0056</v>
      </c>
      <c r="D299" s="171"/>
      <c r="E299" s="171">
        <v>0.5</v>
      </c>
      <c r="F299" s="171">
        <f>1-SUM(D299:E299)</f>
        <v>0.5</v>
      </c>
    </row>
    <row r="300" spans="1:6" ht="12.75">
      <c r="A300" s="229"/>
      <c r="B300" s="226"/>
      <c r="C300" s="168">
        <f>VLOOKUP($A299,'Orçamento Sintético'!$A:$H,8,0)</f>
        <v>3459.54</v>
      </c>
      <c r="D300" s="172">
        <f>ROUND($C300*D299,2)</f>
        <v>0</v>
      </c>
      <c r="E300" s="172">
        <f>ROUND($C300*E299,2)</f>
        <v>1729.77</v>
      </c>
      <c r="F300" s="172">
        <f>C300-SUM(D300:E300)</f>
        <v>1729.77</v>
      </c>
    </row>
    <row r="301" spans="1:6" ht="12.75" customHeight="1">
      <c r="A301" s="229" t="s">
        <v>900</v>
      </c>
      <c r="B301" s="225" t="str">
        <f>VLOOKUP($A301,'Orçamento Sintético'!$A:$H,4,0)</f>
        <v>Ponto de tomada simples (PTS) média</v>
      </c>
      <c r="C301" s="167">
        <f>ROUND(C302/$F$452,4)</f>
        <v>0.0018</v>
      </c>
      <c r="D301" s="171">
        <v>0.5</v>
      </c>
      <c r="E301" s="171">
        <v>0.5</v>
      </c>
      <c r="F301" s="171">
        <f>1-SUM(D301:E301)</f>
        <v>0</v>
      </c>
    </row>
    <row r="302" spans="1:6" ht="12.75" customHeight="1">
      <c r="A302" s="229"/>
      <c r="B302" s="226"/>
      <c r="C302" s="168">
        <f>VLOOKUP($A301,'Orçamento Sintético'!$A:$H,8,0)</f>
        <v>1121.02</v>
      </c>
      <c r="D302" s="172">
        <f>ROUND($C302*D301,2)</f>
        <v>560.51</v>
      </c>
      <c r="E302" s="172">
        <f>ROUND($C302*E301,2)</f>
        <v>560.51</v>
      </c>
      <c r="F302" s="172">
        <f>C302-SUM(D302:E302)</f>
        <v>0</v>
      </c>
    </row>
    <row r="303" spans="1:6" ht="12.75">
      <c r="A303" s="229" t="s">
        <v>903</v>
      </c>
      <c r="B303" s="225" t="str">
        <f>VLOOKUP($A303,'Orçamento Sintético'!$A:$H,4,0)</f>
        <v>Ponto de tomada de potência (PTP) alta</v>
      </c>
      <c r="C303" s="167">
        <f>ROUND(C304/$F$452,4)</f>
        <v>0.0006</v>
      </c>
      <c r="D303" s="171">
        <v>0.5</v>
      </c>
      <c r="E303" s="171">
        <v>0.5</v>
      </c>
      <c r="F303" s="171">
        <f>1-SUM(D303:E303)</f>
        <v>0</v>
      </c>
    </row>
    <row r="304" spans="1:6" ht="12.75">
      <c r="A304" s="229"/>
      <c r="B304" s="226"/>
      <c r="C304" s="168">
        <f>VLOOKUP($A303,'Orçamento Sintético'!$A:$H,8,0)</f>
        <v>362</v>
      </c>
      <c r="D304" s="172">
        <f>ROUND($C304*D303,2)</f>
        <v>181</v>
      </c>
      <c r="E304" s="172">
        <f>ROUND($C304*E303,2)</f>
        <v>181</v>
      </c>
      <c r="F304" s="172">
        <f>C304-SUM(D304:E304)</f>
        <v>0</v>
      </c>
    </row>
    <row r="305" spans="1:6" ht="12.75" customHeight="1">
      <c r="A305" s="229" t="s">
        <v>906</v>
      </c>
      <c r="B305" s="225" t="str">
        <f>VLOOKUP($A305,'Orçamento Sintético'!$A:$H,4,0)</f>
        <v>Ponto de tomada dupla média</v>
      </c>
      <c r="C305" s="167">
        <f>ROUND(C306/$F$452,4)</f>
        <v>0.0001</v>
      </c>
      <c r="D305" s="171">
        <v>0.5</v>
      </c>
      <c r="E305" s="171">
        <v>0.5</v>
      </c>
      <c r="F305" s="171">
        <f>1-SUM(D305:E305)</f>
        <v>0</v>
      </c>
    </row>
    <row r="306" spans="1:6" ht="12.75" customHeight="1">
      <c r="A306" s="229"/>
      <c r="B306" s="226"/>
      <c r="C306" s="168">
        <f>VLOOKUP($A305,'Orçamento Sintético'!$A:$H,8,0)</f>
        <v>70.49</v>
      </c>
      <c r="D306" s="172">
        <f>ROUND($C306*D305,2)</f>
        <v>35.25</v>
      </c>
      <c r="E306" s="172">
        <f>ROUND($C306*E305,2)</f>
        <v>35.25</v>
      </c>
      <c r="F306" s="172">
        <f>C306-SUM(D306:E306)</f>
        <v>-0.010000000000005116</v>
      </c>
    </row>
    <row r="307" spans="1:6" ht="12.75">
      <c r="A307" s="238" t="s">
        <v>128</v>
      </c>
      <c r="B307" s="235" t="str">
        <f>VLOOKUP($A307,'Orçamento Sintético'!$A:$H,4,0)</f>
        <v>INSTALAÇÕES HIDRÁULICAS E SANITÁRIAS</v>
      </c>
      <c r="C307" s="161">
        <f>ROUND(C308/$F$452,4)</f>
        <v>0.0537</v>
      </c>
      <c r="D307" s="162">
        <f>ROUND(D308/$C308,4)</f>
        <v>0.7661</v>
      </c>
      <c r="E307" s="162">
        <f>ROUND(E308/$C308,4)</f>
        <v>0.112</v>
      </c>
      <c r="F307" s="162">
        <f>ROUND(F308/$C308,4)</f>
        <v>0.1219</v>
      </c>
    </row>
    <row r="308" spans="1:6" ht="12.75">
      <c r="A308" s="238"/>
      <c r="B308" s="235"/>
      <c r="C308" s="163">
        <f>VLOOKUP($A307,'Orçamento Sintético'!$A:$H,8,0)</f>
        <v>32964.52</v>
      </c>
      <c r="D308" s="164">
        <f>D310+D336+D358+D376</f>
        <v>25253.979999999996</v>
      </c>
      <c r="E308" s="164">
        <f>E310+E336+E358+E376</f>
        <v>3693.02</v>
      </c>
      <c r="F308" s="164">
        <f>F310+F336+F358+F376</f>
        <v>4017.52</v>
      </c>
    </row>
    <row r="309" spans="1:6" ht="12.75" customHeight="1">
      <c r="A309" s="227" t="s">
        <v>909</v>
      </c>
      <c r="B309" s="227" t="str">
        <f>VLOOKUP($A309,'Orçamento Sintético'!$A:$H,4,0)</f>
        <v>ÁGUA FRIA</v>
      </c>
      <c r="C309" s="165">
        <f>ROUND(C310/$F$452,4)</f>
        <v>0.0123</v>
      </c>
      <c r="D309" s="165">
        <f>ROUND(D310/$C310,4)</f>
        <v>0.775</v>
      </c>
      <c r="E309" s="165">
        <f>ROUND(E310/$C310,4)</f>
        <v>0</v>
      </c>
      <c r="F309" s="165">
        <f>ROUND(F310/$C310,4)</f>
        <v>0.225</v>
      </c>
    </row>
    <row r="310" spans="1:6" ht="12.75" customHeight="1">
      <c r="A310" s="228"/>
      <c r="B310" s="228"/>
      <c r="C310" s="166">
        <f>VLOOKUP($A309,'Orçamento Sintético'!$A:$H,8,0)</f>
        <v>7567.599999999999</v>
      </c>
      <c r="D310" s="166">
        <f>D312+D320</f>
        <v>5864.889999999999</v>
      </c>
      <c r="E310" s="166">
        <f>E312+E320</f>
        <v>0</v>
      </c>
      <c r="F310" s="166">
        <f>F312+F320</f>
        <v>1702.71</v>
      </c>
    </row>
    <row r="311" spans="1:6" ht="12.75">
      <c r="A311" s="227" t="s">
        <v>911</v>
      </c>
      <c r="B311" s="227" t="str">
        <f>VLOOKUP($A311,'Orçamento Sintético'!$A:$H,4,0)</f>
        <v>Tubulações e Conexões de PVC Rígido</v>
      </c>
      <c r="C311" s="169">
        <f>ROUND(C312/$F$452,4)</f>
        <v>0.0063</v>
      </c>
      <c r="D311" s="169">
        <f>ROUND(D312/$C312,4)</f>
        <v>1</v>
      </c>
      <c r="E311" s="169">
        <f>ROUND(E312/$C312,4)</f>
        <v>0</v>
      </c>
      <c r="F311" s="169">
        <f>ROUND(F312/$C312,4)</f>
        <v>0</v>
      </c>
    </row>
    <row r="312" spans="1:6" ht="12.75">
      <c r="A312" s="228"/>
      <c r="B312" s="228"/>
      <c r="C312" s="170">
        <f>VLOOKUP($A311,'Orçamento Sintético'!$A:$H,8,0)</f>
        <v>3896.5299999999997</v>
      </c>
      <c r="D312" s="170">
        <f>D314+D316+D318</f>
        <v>3896.5299999999997</v>
      </c>
      <c r="E312" s="170">
        <f>E314+E316+E318</f>
        <v>0</v>
      </c>
      <c r="F312" s="170">
        <f>F314+F316+F318</f>
        <v>0</v>
      </c>
    </row>
    <row r="313" spans="1:6" ht="18" customHeight="1">
      <c r="A313" s="229" t="s">
        <v>913</v>
      </c>
      <c r="B313" s="225" t="str">
        <f>VLOOKUP($A313,'Orçamento Sintético'!$A:$H,4,0)</f>
        <v>Cópia da Sinapi (91788) - (Composição representativa) do serviço de instalação de tubos de PVC, soldável, água fria, DN 60mm (instalado em prumada), inclusive conexões, cortes e fixações, para prédios.</v>
      </c>
      <c r="C313" s="167">
        <f>ROUND(C314/$F$452,4)</f>
        <v>0.0007</v>
      </c>
      <c r="D313" s="171">
        <v>1</v>
      </c>
      <c r="E313" s="171"/>
      <c r="F313" s="171">
        <f>1-SUM(D313:E313)</f>
        <v>0</v>
      </c>
    </row>
    <row r="314" spans="1:6" ht="18" customHeight="1">
      <c r="A314" s="229"/>
      <c r="B314" s="226"/>
      <c r="C314" s="168">
        <f>VLOOKUP($A313,'Orçamento Sintético'!$A:$H,8,0)</f>
        <v>444.25</v>
      </c>
      <c r="D314" s="172">
        <f>ROUND($C314*D313,2)</f>
        <v>444.25</v>
      </c>
      <c r="E314" s="172">
        <f>ROUND($C314*E313,2)</f>
        <v>0</v>
      </c>
      <c r="F314" s="172">
        <f>C314-SUM(D314:E314)</f>
        <v>0</v>
      </c>
    </row>
    <row r="315" spans="1:6" ht="22.5" customHeight="1">
      <c r="A315" s="229" t="s">
        <v>916</v>
      </c>
      <c r="B315" s="225" t="str">
        <f>VLOOKUP($A315,'Orçamento Sintético'!$A:$H,4,0)</f>
        <v>(COMPOSIÇÃO REPRESENTATIVA) DO SERVIÇO DE INSTALAÇÃO TUBOS DE PVC, SOLDÁVEL, ÁGUA FRIA, DN 32 MM (INSTALADO EM RAMAL, SUB-RAMAL, RAMAL DE DISTRIBUIÇÃO OU PRUMADA), INCLUSIVE CONEXÕES, CORTES E FIXAÇÕES, PARA PRÉDIOS. AF_10/2015</v>
      </c>
      <c r="C315" s="167">
        <f>ROUND(C316/$F$452,4)</f>
        <v>0.001</v>
      </c>
      <c r="D315" s="171">
        <v>1</v>
      </c>
      <c r="E315" s="171"/>
      <c r="F315" s="171">
        <f>1-SUM(D315:E315)</f>
        <v>0</v>
      </c>
    </row>
    <row r="316" spans="1:6" ht="22.5" customHeight="1">
      <c r="A316" s="229"/>
      <c r="B316" s="226"/>
      <c r="C316" s="168">
        <f>VLOOKUP($A315,'Orçamento Sintético'!$A:$H,8,0)</f>
        <v>622.2</v>
      </c>
      <c r="D316" s="172">
        <f>ROUND($C316*D315,2)</f>
        <v>622.2</v>
      </c>
      <c r="E316" s="172">
        <f>ROUND($C316*E315,2)</f>
        <v>0</v>
      </c>
      <c r="F316" s="172">
        <f>C316-SUM(D316:E316)</f>
        <v>0</v>
      </c>
    </row>
    <row r="317" spans="1:6" ht="22.5" customHeight="1">
      <c r="A317" s="229" t="s">
        <v>917</v>
      </c>
      <c r="B317" s="225" t="str">
        <f>VLOOKUP($A317,'Orçamento Sintético'!$A:$H,4,0)</f>
        <v>(COMPOSIÇÃO REPRESENTATIVA) DO SERVIÇO DE INSTALAÇÃO DE TUBOS DE PVC, SOLDÁVEL, ÁGUA FRIA, DN 25 MM (INSTALADO EM RAMAL, SUB-RAMAL, RAMAL DE DISTRIBUIÇÃO OU PRUMADA), INCLUSIVE CONEXÕES, CORTES E FIXAÇÕES, PARA PRÉDIOS. AF_10/2015</v>
      </c>
      <c r="C317" s="167">
        <f>ROUND(C318/$F$452,4)</f>
        <v>0.0046</v>
      </c>
      <c r="D317" s="171">
        <v>1</v>
      </c>
      <c r="E317" s="171"/>
      <c r="F317" s="171">
        <f>1-SUM(D317:E317)</f>
        <v>0</v>
      </c>
    </row>
    <row r="318" spans="1:6" ht="22.5" customHeight="1">
      <c r="A318" s="229"/>
      <c r="B318" s="226"/>
      <c r="C318" s="168">
        <f>VLOOKUP($A317,'Orçamento Sintético'!$A:$H,8,0)</f>
        <v>2830.08</v>
      </c>
      <c r="D318" s="172">
        <f>ROUND($C318*D317,2)</f>
        <v>2830.08</v>
      </c>
      <c r="E318" s="172">
        <f>ROUND($C318*E317,2)</f>
        <v>0</v>
      </c>
      <c r="F318" s="172">
        <f>C318-SUM(D318:E318)</f>
        <v>0</v>
      </c>
    </row>
    <row r="319" spans="1:6" ht="12.75">
      <c r="A319" s="227" t="s">
        <v>918</v>
      </c>
      <c r="B319" s="227" t="str">
        <f>VLOOKUP($A319,'Orçamento Sintético'!$A:$H,4,0)</f>
        <v>Metais e Acessórios Sanitários</v>
      </c>
      <c r="C319" s="169">
        <f>ROUND(C320/$F$452,4)</f>
        <v>0.006</v>
      </c>
      <c r="D319" s="169">
        <f>ROUND(D320/$C320,4)</f>
        <v>0.5362</v>
      </c>
      <c r="E319" s="169">
        <f>ROUND(E320/$C320,4)</f>
        <v>0</v>
      </c>
      <c r="F319" s="169">
        <f>ROUND(F320/$C320,4)</f>
        <v>0.4638</v>
      </c>
    </row>
    <row r="320" spans="1:6" ht="12.75">
      <c r="A320" s="228"/>
      <c r="B320" s="228"/>
      <c r="C320" s="170">
        <f>VLOOKUP($A319,'Orçamento Sintético'!$A:$H,8,0)</f>
        <v>3671.0699999999997</v>
      </c>
      <c r="D320" s="170">
        <f>D322+D324+D326+D328+D330+D332+D334</f>
        <v>1968.36</v>
      </c>
      <c r="E320" s="170">
        <f>E322+E324+E326+E328+E330+E332+E334</f>
        <v>0</v>
      </c>
      <c r="F320" s="170">
        <f>F322+F324+F326+F328+F330+F332+F334</f>
        <v>1702.71</v>
      </c>
    </row>
    <row r="321" spans="1:6" ht="22.5" customHeight="1">
      <c r="A321" s="229" t="s">
        <v>920</v>
      </c>
      <c r="B321" s="225" t="str">
        <f>VLOOKUP($A321,'Orçamento Sintético'!$A:$H,4,0)</f>
        <v>REGISTRO DE GAVETA BRUTO, LATÃO, ROSCÁVEL, 1 1/2, COM ACABAMENTO E CANOPLA CROMADOS, INSTALADO EM RESERVAÇÃO DE ÁGUA DE EDIFICAÇÃO QUE POSSUA RESERVATÓRIO DE FIBRA/FIBROCIMENTO  FORNECIMENTO E INSTALAÇÃO. AF_06/2016</v>
      </c>
      <c r="C321" s="167">
        <f>ROUND(C322/$F$452,4)</f>
        <v>0.0014</v>
      </c>
      <c r="D321" s="171">
        <v>1</v>
      </c>
      <c r="E321" s="171"/>
      <c r="F321" s="171">
        <f>1-SUM(D321:E321)</f>
        <v>0</v>
      </c>
    </row>
    <row r="322" spans="1:6" ht="22.5" customHeight="1">
      <c r="A322" s="229"/>
      <c r="B322" s="226"/>
      <c r="C322" s="168">
        <f>VLOOKUP($A321,'Orçamento Sintético'!$A:$H,8,0)</f>
        <v>846.42</v>
      </c>
      <c r="D322" s="172">
        <f>ROUND($C322*D321,2)</f>
        <v>846.42</v>
      </c>
      <c r="E322" s="172">
        <f>ROUND($C322*E321,2)</f>
        <v>0</v>
      </c>
      <c r="F322" s="172">
        <f>C322-SUM(D322:E322)</f>
        <v>0</v>
      </c>
    </row>
    <row r="323" spans="1:6" ht="18" customHeight="1">
      <c r="A323" s="229" t="s">
        <v>921</v>
      </c>
      <c r="B323" s="225" t="str">
        <f>VLOOKUP($A323,'Orçamento Sintético'!$A:$H,4,0)</f>
        <v>Copia da SINAPI (89987) - REGISTRO DE GAVETA BRUTO, LATÃO, ROSCÁVEL, 1", COM ACABAMENTO E CANOPLA CROMADOS. FORNECIDO E INSTALADO EM RAMAL DE ÁGUA.</v>
      </c>
      <c r="C323" s="167">
        <f>ROUND(C324/$F$452,4)</f>
        <v>0.0002</v>
      </c>
      <c r="D323" s="171">
        <v>1</v>
      </c>
      <c r="E323" s="171"/>
      <c r="F323" s="171">
        <f>1-SUM(D323:E323)</f>
        <v>0</v>
      </c>
    </row>
    <row r="324" spans="1:6" ht="18" customHeight="1">
      <c r="A324" s="229"/>
      <c r="B324" s="226"/>
      <c r="C324" s="168">
        <f>VLOOKUP($A323,'Orçamento Sintético'!$A:$H,8,0)</f>
        <v>97.52</v>
      </c>
      <c r="D324" s="172">
        <f>ROUND($C324*D323,2)</f>
        <v>97.52</v>
      </c>
      <c r="E324" s="172">
        <f>ROUND($C324*E323,2)</f>
        <v>0</v>
      </c>
      <c r="F324" s="172">
        <f>C324-SUM(D324:E324)</f>
        <v>0</v>
      </c>
    </row>
    <row r="325" spans="1:6" ht="12.75">
      <c r="A325" s="229" t="s">
        <v>924</v>
      </c>
      <c r="B325" s="225" t="str">
        <f>VLOOKUP($A325,'Orçamento Sintético'!$A:$H,4,0)</f>
        <v>REGISTRO DE GAVETA BRUTO, LATÃO, ROSCÁVEL, 3/4", COM ACABAMENTO E CANOPLA CROMADOS. FORNECIDO E INSTALADO EM RAMAL DE ÁGUA. AF_12/2014</v>
      </c>
      <c r="C325" s="167">
        <f>ROUND(C326/$F$452,4)</f>
        <v>0.0013</v>
      </c>
      <c r="D325" s="171">
        <v>1</v>
      </c>
      <c r="E325" s="171"/>
      <c r="F325" s="171">
        <f>1-SUM(D325:E325)</f>
        <v>0</v>
      </c>
    </row>
    <row r="326" spans="1:6" ht="12.75">
      <c r="A326" s="229"/>
      <c r="B326" s="226"/>
      <c r="C326" s="168">
        <f>VLOOKUP($A325,'Orçamento Sintético'!$A:$H,8,0)</f>
        <v>797.2</v>
      </c>
      <c r="D326" s="172">
        <f>ROUND($C326*D325,2)</f>
        <v>797.2</v>
      </c>
      <c r="E326" s="172">
        <f>ROUND($C326*E325,2)</f>
        <v>0</v>
      </c>
      <c r="F326" s="172">
        <f>C326-SUM(D326:E326)</f>
        <v>0</v>
      </c>
    </row>
    <row r="327" spans="1:6" ht="12.75">
      <c r="A327" s="229" t="s">
        <v>925</v>
      </c>
      <c r="B327" s="225" t="str">
        <f>VLOOKUP($A327,'Orçamento Sintético'!$A:$H,4,0)</f>
        <v>REGISTRO DE PRESSÃO BRUTO, LATÃO, ROSCÁVEL, 3/4", COM ACABAMENTO E CANOPLA CROMADOS. FORNECIDO E INSTALADO EM RAMAL DE ÁGUA. AF_12/2014</v>
      </c>
      <c r="C327" s="167">
        <f>ROUND(C328/$F$452,4)</f>
        <v>0.0004</v>
      </c>
      <c r="D327" s="171">
        <v>1</v>
      </c>
      <c r="E327" s="171"/>
      <c r="F327" s="171">
        <f>1-SUM(D327:E327)</f>
        <v>0</v>
      </c>
    </row>
    <row r="328" spans="1:6" ht="12.75">
      <c r="A328" s="229"/>
      <c r="B328" s="226"/>
      <c r="C328" s="168">
        <f>VLOOKUP($A327,'Orçamento Sintético'!$A:$H,8,0)</f>
        <v>227.22</v>
      </c>
      <c r="D328" s="172">
        <f>ROUND($C328*D327,2)</f>
        <v>227.22</v>
      </c>
      <c r="E328" s="172">
        <f>ROUND($C328*E327,2)</f>
        <v>0</v>
      </c>
      <c r="F328" s="172">
        <f>C328-SUM(D328:E328)</f>
        <v>0</v>
      </c>
    </row>
    <row r="329" spans="1:6" ht="12.75">
      <c r="A329" s="229" t="s">
        <v>926</v>
      </c>
      <c r="B329" s="225" t="str">
        <f>VLOOKUP($A329,'Orçamento Sintético'!$A:$H,4,0)</f>
        <v>Cópia da Cpos (44.20.150) - Acabamento de metal cromado para registro grande, Deca Linha Flex 4900.C20.GD</v>
      </c>
      <c r="C329" s="167">
        <f>ROUND(C330/$F$452,4)</f>
        <v>0.0008</v>
      </c>
      <c r="D329" s="171"/>
      <c r="E329" s="171"/>
      <c r="F329" s="171">
        <f>1-SUM(D329:E329)</f>
        <v>1</v>
      </c>
    </row>
    <row r="330" spans="1:6" ht="12.75">
      <c r="A330" s="229"/>
      <c r="B330" s="226"/>
      <c r="C330" s="168">
        <f>VLOOKUP($A329,'Orçamento Sintético'!$A:$H,8,0)</f>
        <v>490.98</v>
      </c>
      <c r="D330" s="172">
        <f>ROUND($C330*D329,2)</f>
        <v>0</v>
      </c>
      <c r="E330" s="172">
        <f>ROUND($C330*E329,2)</f>
        <v>0</v>
      </c>
      <c r="F330" s="172">
        <f>C330-SUM(D330:E330)</f>
        <v>490.98</v>
      </c>
    </row>
    <row r="331" spans="1:6" ht="12.75">
      <c r="A331" s="229" t="s">
        <v>929</v>
      </c>
      <c r="B331" s="225" t="str">
        <f>VLOOKUP($A331,'Orçamento Sintético'!$A:$H,4,0)</f>
        <v>Cópia da Cpos (44.20.150) - Acabamento de metal cromado para registro pequeno, de parede, Deca Linha Flex Plus, 4916.C21.PQ (PcD)</v>
      </c>
      <c r="C331" s="167">
        <f>ROUND(C332/$F$452,4)</f>
        <v>0.0002</v>
      </c>
      <c r="D331" s="171"/>
      <c r="E331" s="171"/>
      <c r="F331" s="171">
        <f>1-SUM(D331:E331)</f>
        <v>1</v>
      </c>
    </row>
    <row r="332" spans="1:6" ht="12.75">
      <c r="A332" s="229"/>
      <c r="B332" s="226"/>
      <c r="C332" s="168">
        <f>VLOOKUP($A331,'Orçamento Sintético'!$A:$H,8,0)</f>
        <v>132.45</v>
      </c>
      <c r="D332" s="172">
        <f>ROUND($C332*D331,2)</f>
        <v>0</v>
      </c>
      <c r="E332" s="172">
        <f>ROUND($C332*E331,2)</f>
        <v>0</v>
      </c>
      <c r="F332" s="172">
        <f>C332-SUM(D332:E332)</f>
        <v>132.45</v>
      </c>
    </row>
    <row r="333" spans="1:6" ht="12.75">
      <c r="A333" s="229" t="s">
        <v>932</v>
      </c>
      <c r="B333" s="225" t="str">
        <f>VLOOKUP($A333,'Orçamento Sintético'!$A:$H,4,0)</f>
        <v>Cópia da Cpos (44.20.150) - Acabamento de metal cromado para registro pequeno, de parede, Deca Linha Flex, 4900.C20.PQ</v>
      </c>
      <c r="C333" s="167">
        <f>ROUND(C334/$F$452,4)</f>
        <v>0.0018</v>
      </c>
      <c r="D333" s="171"/>
      <c r="E333" s="171"/>
      <c r="F333" s="171">
        <f>1-SUM(D333:E333)</f>
        <v>1</v>
      </c>
    </row>
    <row r="334" spans="1:6" ht="12.75">
      <c r="A334" s="229"/>
      <c r="B334" s="226"/>
      <c r="C334" s="168">
        <f>VLOOKUP($A333,'Orçamento Sintético'!$A:$H,8,0)</f>
        <v>1079.28</v>
      </c>
      <c r="D334" s="172">
        <f>ROUND($C334*D333,2)</f>
        <v>0</v>
      </c>
      <c r="E334" s="172">
        <f>ROUND($C334*E333,2)</f>
        <v>0</v>
      </c>
      <c r="F334" s="172">
        <f>C334-SUM(D334:E334)</f>
        <v>1079.28</v>
      </c>
    </row>
    <row r="335" spans="1:6" ht="12.75">
      <c r="A335" s="227" t="s">
        <v>935</v>
      </c>
      <c r="B335" s="227" t="str">
        <f>VLOOKUP($A335,'Orçamento Sintético'!$A:$H,4,0)</f>
        <v>ESGOTOS SANITÁRIOS</v>
      </c>
      <c r="C335" s="165">
        <f>ROUND(C336/$F$452,4)</f>
        <v>0.0135</v>
      </c>
      <c r="D335" s="165">
        <f>ROUND(D336/$C336,4)</f>
        <v>0.2761</v>
      </c>
      <c r="E335" s="165">
        <f>ROUND(E336/$C336,4)</f>
        <v>0.445</v>
      </c>
      <c r="F335" s="165">
        <f>ROUND(F336/$C336,4)</f>
        <v>0.2789</v>
      </c>
    </row>
    <row r="336" spans="1:6" ht="12.75">
      <c r="A336" s="228"/>
      <c r="B336" s="228"/>
      <c r="C336" s="166">
        <f>VLOOKUP($A335,'Orçamento Sintético'!$A:$H,8,0)</f>
        <v>8298.93</v>
      </c>
      <c r="D336" s="166">
        <f>D338+D348</f>
        <v>2291.1</v>
      </c>
      <c r="E336" s="166">
        <f>E338+E348</f>
        <v>3693.02</v>
      </c>
      <c r="F336" s="166">
        <f>F338+F348</f>
        <v>2314.81</v>
      </c>
    </row>
    <row r="337" spans="1:6" ht="12.75">
      <c r="A337" s="227" t="s">
        <v>937</v>
      </c>
      <c r="B337" s="227" t="str">
        <f>VLOOKUP($A337,'Orçamento Sintético'!$A:$H,4,0)</f>
        <v>Tubulações e Conexões de PVC</v>
      </c>
      <c r="C337" s="169">
        <f>ROUND(C338/$F$452,4)</f>
        <v>0.0095</v>
      </c>
      <c r="D337" s="169">
        <f>ROUND(D338/$C338,4)</f>
        <v>0.2973</v>
      </c>
      <c r="E337" s="169">
        <f>ROUND(E338/$C338,4)</f>
        <v>0.4952</v>
      </c>
      <c r="F337" s="169">
        <f>ROUND(F338/$C338,4)</f>
        <v>0.2075</v>
      </c>
    </row>
    <row r="338" spans="1:6" ht="12.75">
      <c r="A338" s="228"/>
      <c r="B338" s="228"/>
      <c r="C338" s="170">
        <f>VLOOKUP($A337,'Orçamento Sintético'!$A:$H,8,0)</f>
        <v>5863.86</v>
      </c>
      <c r="D338" s="170">
        <f>D340+D342+D344+D346</f>
        <v>1743.3</v>
      </c>
      <c r="E338" s="170">
        <f>E340+E342+E344+E346</f>
        <v>2903.81</v>
      </c>
      <c r="F338" s="170">
        <f>F340+F342+F344+F346</f>
        <v>1216.75</v>
      </c>
    </row>
    <row r="339" spans="1:6" ht="22.5" customHeight="1">
      <c r="A339" s="229" t="s">
        <v>939</v>
      </c>
      <c r="B339" s="225" t="str">
        <f>VLOOKUP($A339,'Orçamento Sintético'!$A:$H,4,0)</f>
        <v>(COMPOSIÇÃO REPRESENTATIVA) DO SERVIÇO DE INST. TUBO PVC, SÉRIE N, ESGOTO PREDIAL, 100 MM (INST. RAMAL DESCARGA, RAMAL DE ESG. SANIT., PRUMADA ESG. SANIT., VENTILAÇÃO OU SUB-COLETOR AÉREO), INCL. CONEXÕES E CORTES, FIXAÇÕES, P/ PRÉDIOS. AF_10/2015</v>
      </c>
      <c r="C339" s="167">
        <f>ROUND(C340/$F$452,4)</f>
        <v>0.0033</v>
      </c>
      <c r="D339" s="171">
        <v>0.2</v>
      </c>
      <c r="E339" s="171">
        <v>0.5</v>
      </c>
      <c r="F339" s="171">
        <f>1-SUM(D339:E339)</f>
        <v>0.30000000000000004</v>
      </c>
    </row>
    <row r="340" spans="1:6" ht="22.5" customHeight="1">
      <c r="A340" s="229"/>
      <c r="B340" s="226"/>
      <c r="C340" s="168">
        <f>VLOOKUP($A339,'Orçamento Sintético'!$A:$H,8,0)</f>
        <v>2010.15</v>
      </c>
      <c r="D340" s="172">
        <f>ROUND($C340*D339,2)</f>
        <v>402.03</v>
      </c>
      <c r="E340" s="172">
        <f>ROUND($C340*E339,2)</f>
        <v>1005.08</v>
      </c>
      <c r="F340" s="172">
        <f>C340-SUM(D340:E340)</f>
        <v>603.04</v>
      </c>
    </row>
    <row r="341" spans="1:6" ht="22.5" customHeight="1">
      <c r="A341" s="229" t="s">
        <v>940</v>
      </c>
      <c r="B341" s="225" t="str">
        <f>VLOOKUP($A341,'Orçamento Sintético'!$A:$H,4,0)</f>
        <v>(COMPOSIÇÃO REPRESENTATIVA) DO SERVIÇO DE INST. TUBO PVC, SÉRIE N, ESGOTO PREDIAL, DN 75 MM, (INST. EM RAMAL DE DESCARGA, RAMAL DE ESG. SANITÁRIO, PRUMADA DE ESG. SANITÁRIO OU VENTILAÇÃO), INCL. CONEXÕES, CORTES E FIXAÇÕES, P/ PRÉDIOS. AF_10/2015</v>
      </c>
      <c r="C341" s="167">
        <f>ROUND(C342/$F$452,4)</f>
        <v>0.0035</v>
      </c>
      <c r="D341" s="171">
        <v>0.3</v>
      </c>
      <c r="E341" s="171">
        <v>0.5</v>
      </c>
      <c r="F341" s="171">
        <f>1-SUM(D341:E341)</f>
        <v>0.19999999999999996</v>
      </c>
    </row>
    <row r="342" spans="1:6" ht="22.5" customHeight="1">
      <c r="A342" s="229"/>
      <c r="B342" s="226"/>
      <c r="C342" s="168">
        <f>VLOOKUP($A341,'Orçamento Sintético'!$A:$H,8,0)</f>
        <v>2170.08</v>
      </c>
      <c r="D342" s="172">
        <f>ROUND($C342*D341,2)</f>
        <v>651.02</v>
      </c>
      <c r="E342" s="172">
        <f>ROUND($C342*E341,2)</f>
        <v>1085.04</v>
      </c>
      <c r="F342" s="172">
        <f>C342-SUM(D342:E342)</f>
        <v>434.02</v>
      </c>
    </row>
    <row r="343" spans="1:6" ht="22.5" customHeight="1">
      <c r="A343" s="229" t="s">
        <v>941</v>
      </c>
      <c r="B343" s="225" t="str">
        <f>VLOOKUP($A343,'Orçamento Sintético'!$A:$H,4,0)</f>
        <v>(COMPOSIÇÃO REPRESENTATIVA) DO SERVIÇO DE INSTALAÇÃO DE TUBO DE PVC, SÉRIE NORMAL, ESGOTO PREDIAL, DN 50 MM (INSTALADO EM RAMAL DE DESCARGA OU RAMAL DE ESGOTO SANITÁRIO), INCLUSIVE CONEXÕES, CORTES E FIXAÇÕES PARA, PRÉDIOS. AF_10/2015</v>
      </c>
      <c r="C343" s="167">
        <f>ROUND(C344/$F$452,4)</f>
        <v>0.0007</v>
      </c>
      <c r="D343" s="171">
        <v>0.3</v>
      </c>
      <c r="E343" s="171">
        <v>0.3</v>
      </c>
      <c r="F343" s="171">
        <f>1-SUM(D343:E343)</f>
        <v>0.4</v>
      </c>
    </row>
    <row r="344" spans="1:6" ht="22.5" customHeight="1">
      <c r="A344" s="229"/>
      <c r="B344" s="226"/>
      <c r="C344" s="168">
        <f>VLOOKUP($A343,'Orçamento Sintético'!$A:$H,8,0)</f>
        <v>449.25</v>
      </c>
      <c r="D344" s="172">
        <f>ROUND($C344*D343,2)</f>
        <v>134.78</v>
      </c>
      <c r="E344" s="172">
        <f>ROUND($C344*E343,2)</f>
        <v>134.78</v>
      </c>
      <c r="F344" s="172">
        <f>C344-SUM(D344:E344)</f>
        <v>179.69</v>
      </c>
    </row>
    <row r="345" spans="1:6" ht="22.5" customHeight="1">
      <c r="A345" s="229" t="s">
        <v>942</v>
      </c>
      <c r="B345" s="225" t="str">
        <f>VLOOKUP($A345,'Orçamento Sintético'!$A:$H,4,0)</f>
        <v>(COMPOSIÇÃO REPRESENTATIVA) DO SERVIÇO DE INSTALAÇÃO DE TUBO DE PVC, SÉRIE NORMAL, ESGOTO PREDIAL, DN 40 MM (INSTALADO EM RAMAL DE DESCARGA OU RAMAL DE ESGOTO SANITÁRIO), INCLUSIVE CONEXÕES, CORTES E FIXAÇÕES, PARA PRÉDIOS. AF_10/2015</v>
      </c>
      <c r="C345" s="167">
        <f>ROUND(C346/$F$452,4)</f>
        <v>0.002</v>
      </c>
      <c r="D345" s="171">
        <v>0.45</v>
      </c>
      <c r="E345" s="171">
        <v>0.55</v>
      </c>
      <c r="F345" s="171">
        <f>1-SUM(D345:E345)</f>
        <v>0</v>
      </c>
    </row>
    <row r="346" spans="1:6" ht="22.5" customHeight="1">
      <c r="A346" s="229"/>
      <c r="B346" s="226"/>
      <c r="C346" s="168">
        <f>VLOOKUP($A345,'Orçamento Sintético'!$A:$H,8,0)</f>
        <v>1234.38</v>
      </c>
      <c r="D346" s="172">
        <f>ROUND($C346*D345,2)</f>
        <v>555.47</v>
      </c>
      <c r="E346" s="172">
        <f>ROUND($C346*E345,2)</f>
        <v>678.91</v>
      </c>
      <c r="F346" s="172">
        <f>C346-SUM(D346:E346)</f>
        <v>0</v>
      </c>
    </row>
    <row r="347" spans="1:6" ht="12.75">
      <c r="A347" s="227" t="s">
        <v>943</v>
      </c>
      <c r="B347" s="227" t="str">
        <f>VLOOKUP($A347,'Orçamento Sintético'!$A:$H,4,0)</f>
        <v>Acessórios</v>
      </c>
      <c r="C347" s="169">
        <f>ROUND(C348/$F$452,4)</f>
        <v>0.004</v>
      </c>
      <c r="D347" s="169">
        <f>ROUND(D348/$C348,4)</f>
        <v>0.225</v>
      </c>
      <c r="E347" s="169">
        <f>ROUND(E348/$C348,4)</f>
        <v>0.3241</v>
      </c>
      <c r="F347" s="169">
        <f>ROUND(F348/$C348,4)</f>
        <v>0.4509</v>
      </c>
    </row>
    <row r="348" spans="1:6" ht="12.75">
      <c r="A348" s="228"/>
      <c r="B348" s="228"/>
      <c r="C348" s="170">
        <f>VLOOKUP($A347,'Orçamento Sintético'!$A:$H,8,0)</f>
        <v>2435.0699999999997</v>
      </c>
      <c r="D348" s="170">
        <f>D350+D352+D354+D356</f>
        <v>547.8</v>
      </c>
      <c r="E348" s="170">
        <f>E350+E352+E354+E356</f>
        <v>789.21</v>
      </c>
      <c r="F348" s="170">
        <f>F350+F352+F354+F356</f>
        <v>1098.06</v>
      </c>
    </row>
    <row r="349" spans="1:6" ht="12.75">
      <c r="A349" s="229" t="s">
        <v>945</v>
      </c>
      <c r="B349" s="225" t="str">
        <f>VLOOKUP($A349,'Orçamento Sintético'!$A:$H,4,0)</f>
        <v>Copia da SINAPI (89708) - Caixa sifonada, PVC, DN 150x185x75mm, incluindo tampa hermética em aço inox - fornecimento e instalação</v>
      </c>
      <c r="C349" s="167">
        <f>ROUND(C350/$F$452,4)</f>
        <v>0.0006</v>
      </c>
      <c r="D349" s="171"/>
      <c r="E349" s="171">
        <v>1</v>
      </c>
      <c r="F349" s="171">
        <f>1-SUM(D349:E349)</f>
        <v>0</v>
      </c>
    </row>
    <row r="350" spans="1:6" ht="12.75">
      <c r="A350" s="229"/>
      <c r="B350" s="226"/>
      <c r="C350" s="168">
        <f>VLOOKUP($A349,'Orçamento Sintético'!$A:$H,8,0)</f>
        <v>395.31</v>
      </c>
      <c r="D350" s="172">
        <f>ROUND($C350*D349,2)</f>
        <v>0</v>
      </c>
      <c r="E350" s="172">
        <f>ROUND($C350*E349,2)</f>
        <v>395.31</v>
      </c>
      <c r="F350" s="172">
        <f>C350-SUM(D350:E350)</f>
        <v>0</v>
      </c>
    </row>
    <row r="351" spans="1:6" ht="18" customHeight="1">
      <c r="A351" s="229" t="s">
        <v>948</v>
      </c>
      <c r="B351" s="225" t="str">
        <f>VLOOKUP($A351,'Orçamento Sintético'!$A:$H,4,0)</f>
        <v>CAIXA SIFONADA, PVC, DN 150 X 185 X 75 MM, JUNTA ELÁSTICA, FORNECIDA E INSTALADA EM RAMAL DE DESCARGA OU EM RAMAL DE ESGOTO SANITÁRIO. AF_12/2014</v>
      </c>
      <c r="C351" s="167">
        <f>ROUND(C352/$F$452,4)</f>
        <v>0.0009</v>
      </c>
      <c r="D351" s="171">
        <v>1</v>
      </c>
      <c r="E351" s="171"/>
      <c r="F351" s="171">
        <f>1-SUM(D351:E351)</f>
        <v>0</v>
      </c>
    </row>
    <row r="352" spans="1:6" ht="18" customHeight="1">
      <c r="A352" s="229"/>
      <c r="B352" s="226"/>
      <c r="C352" s="168">
        <f>VLOOKUP($A351,'Orçamento Sintético'!$A:$H,8,0)</f>
        <v>547.8</v>
      </c>
      <c r="D352" s="172">
        <f>ROUND($C352*D351,2)</f>
        <v>547.8</v>
      </c>
      <c r="E352" s="172">
        <f>ROUND($C352*E351,2)</f>
        <v>0</v>
      </c>
      <c r="F352" s="172">
        <f>C352-SUM(D352:E352)</f>
        <v>0</v>
      </c>
    </row>
    <row r="353" spans="1:6" ht="12.75">
      <c r="A353" s="229" t="s">
        <v>949</v>
      </c>
      <c r="B353" s="225" t="str">
        <f>VLOOKUP($A353,'Orçamento Sintético'!$A:$H,4,0)</f>
        <v>CAIXA DE GORDURA PEQUENA (CAPACIDADE: 19 L), CIRCULAR, EM PVC, DIÂMETRO INTERNO= 0,3 M. AF_05/2018</v>
      </c>
      <c r="C353" s="167">
        <f>ROUND(C354/$F$452,4)</f>
        <v>0.0006</v>
      </c>
      <c r="D353" s="171"/>
      <c r="E353" s="171">
        <v>1</v>
      </c>
      <c r="F353" s="171">
        <f>1-SUM(D353:E353)</f>
        <v>0</v>
      </c>
    </row>
    <row r="354" spans="1:6" ht="12.75">
      <c r="A354" s="229"/>
      <c r="B354" s="226"/>
      <c r="C354" s="168">
        <f>VLOOKUP($A353,'Orçamento Sintético'!$A:$H,8,0)</f>
        <v>393.9</v>
      </c>
      <c r="D354" s="172">
        <f>ROUND($C354*D353,2)</f>
        <v>0</v>
      </c>
      <c r="E354" s="172">
        <f>ROUND($C354*E353,2)</f>
        <v>393.9</v>
      </c>
      <c r="F354" s="172">
        <f>C354-SUM(D354:E354)</f>
        <v>0</v>
      </c>
    </row>
    <row r="355" spans="1:6" ht="12.75">
      <c r="A355" s="229" t="s">
        <v>950</v>
      </c>
      <c r="B355" s="225" t="str">
        <f>VLOOKUP($A355,'Orçamento Sintético'!$A:$H,4,0)</f>
        <v>Caixa de inspeção em alvenaria 60x60 com tampa em ferro fundido T33, fundo e laje em concreto.</v>
      </c>
      <c r="C355" s="167">
        <f>ROUND(C356/$F$452,4)</f>
        <v>0.0018</v>
      </c>
      <c r="D355" s="171"/>
      <c r="E355" s="171"/>
      <c r="F355" s="171">
        <f>1-SUM(D355:E355)</f>
        <v>1</v>
      </c>
    </row>
    <row r="356" spans="1:6" ht="12.75">
      <c r="A356" s="229"/>
      <c r="B356" s="226"/>
      <c r="C356" s="168">
        <f>VLOOKUP($A355,'Orçamento Sintético'!$A:$H,8,0)</f>
        <v>1098.06</v>
      </c>
      <c r="D356" s="172">
        <f>ROUND($C356*D355,2)</f>
        <v>0</v>
      </c>
      <c r="E356" s="172">
        <f>ROUND($C356*E355,2)</f>
        <v>0</v>
      </c>
      <c r="F356" s="172">
        <f>C356-SUM(D356:E356)</f>
        <v>1098.06</v>
      </c>
    </row>
    <row r="357" spans="1:6" ht="12.75">
      <c r="A357" s="227" t="s">
        <v>953</v>
      </c>
      <c r="B357" s="227" t="str">
        <f>VLOOKUP($A357,'Orçamento Sintético'!$A:$H,4,0)</f>
        <v>DRENAGEM DE ÁGUAS PLUVIAIS</v>
      </c>
      <c r="C357" s="165">
        <f>ROUND(C358/$F$452,4)</f>
        <v>0.025</v>
      </c>
      <c r="D357" s="165">
        <f>ROUND(D358/$C358,4)</f>
        <v>1</v>
      </c>
      <c r="E357" s="165">
        <f>ROUND(E358/$C358,4)</f>
        <v>0</v>
      </c>
      <c r="F357" s="165">
        <f>ROUND(F358/$C358,4)</f>
        <v>0</v>
      </c>
    </row>
    <row r="358" spans="1:6" ht="12.75">
      <c r="A358" s="228"/>
      <c r="B358" s="228"/>
      <c r="C358" s="166">
        <f>VLOOKUP($A357,'Orçamento Sintético'!$A:$H,8,0)</f>
        <v>15379.129999999997</v>
      </c>
      <c r="D358" s="166">
        <f>D360</f>
        <v>15379.129999999997</v>
      </c>
      <c r="E358" s="166">
        <f>E360</f>
        <v>0</v>
      </c>
      <c r="F358" s="166">
        <f>F360</f>
        <v>0</v>
      </c>
    </row>
    <row r="359" spans="1:6" ht="12.75">
      <c r="A359" s="227" t="s">
        <v>955</v>
      </c>
      <c r="B359" s="227" t="str">
        <f>VLOOKUP($A359,'Orçamento Sintético'!$A:$H,4,0)</f>
        <v>Tubulações e Conexões de PVC</v>
      </c>
      <c r="C359" s="169">
        <f>ROUND(C360/$F$452,4)</f>
        <v>0.025</v>
      </c>
      <c r="D359" s="169">
        <f>ROUND(D360/$C360,4)</f>
        <v>1</v>
      </c>
      <c r="E359" s="169">
        <f>ROUND(E360/$C360,4)</f>
        <v>0</v>
      </c>
      <c r="F359" s="169">
        <f>ROUND(F360/$C360,4)</f>
        <v>0</v>
      </c>
    </row>
    <row r="360" spans="1:6" ht="12.75">
      <c r="A360" s="228"/>
      <c r="B360" s="228"/>
      <c r="C360" s="170">
        <f>VLOOKUP($A359,'Orçamento Sintético'!$A:$H,8,0)</f>
        <v>15379.129999999997</v>
      </c>
      <c r="D360" s="170">
        <f>D362+D364+D366+D368+D370+D372+D374</f>
        <v>15379.129999999997</v>
      </c>
      <c r="E360" s="170">
        <f>E362+E364+E366+E368+E370+E372+E374</f>
        <v>0</v>
      </c>
      <c r="F360" s="170">
        <f>F362+F364+F366+F368+F370+F372+F374</f>
        <v>0</v>
      </c>
    </row>
    <row r="361" spans="1:6" ht="18" customHeight="1">
      <c r="A361" s="229" t="s">
        <v>956</v>
      </c>
      <c r="B361" s="225" t="str">
        <f>VLOOKUP($A361,'Orçamento Sintético'!$A:$H,4,0)</f>
        <v>Copia da SINAPI (91788) - (Composição representativa) do serviço de instalação de tubos de PVC, soldável, água fria, DN 75 mm (instalado em prumada), inclusive conexões, cortes e fixações, para prédios</v>
      </c>
      <c r="C361" s="167">
        <f>ROUND(C362/$F$452,4)</f>
        <v>0.011</v>
      </c>
      <c r="D361" s="171">
        <v>1</v>
      </c>
      <c r="E361" s="171"/>
      <c r="F361" s="171">
        <f>1-SUM(D361:E361)</f>
        <v>0</v>
      </c>
    </row>
    <row r="362" spans="1:6" ht="18" customHeight="1">
      <c r="A362" s="229"/>
      <c r="B362" s="226"/>
      <c r="C362" s="168">
        <f>VLOOKUP($A361,'Orçamento Sintético'!$A:$H,8,0)</f>
        <v>6759.87</v>
      </c>
      <c r="D362" s="172">
        <f>ROUND($C362*D361,2)</f>
        <v>6759.87</v>
      </c>
      <c r="E362" s="172">
        <f>ROUND($C362*E361,2)</f>
        <v>0</v>
      </c>
      <c r="F362" s="172">
        <f>C362-SUM(D362:E362)</f>
        <v>0</v>
      </c>
    </row>
    <row r="363" spans="1:6" ht="12.75">
      <c r="A363" s="229" t="s">
        <v>959</v>
      </c>
      <c r="B363" s="225" t="str">
        <f>VLOOKUP($A363,'Orçamento Sintético'!$A:$H,4,0)</f>
        <v>TUBO, PVC, SOLDÁVEL, DN 85MM, INSTALADO EM PRUMADA DE ÁGUA - FORNECIMENTO E INSTALAÇÃO. AF_12/2014</v>
      </c>
      <c r="C363" s="167">
        <f>ROUND(C364/$F$452,4)</f>
        <v>0.0008</v>
      </c>
      <c r="D363" s="171">
        <v>1</v>
      </c>
      <c r="E363" s="171"/>
      <c r="F363" s="171">
        <f>1-SUM(D363:E363)</f>
        <v>0</v>
      </c>
    </row>
    <row r="364" spans="1:6" ht="12.75">
      <c r="A364" s="229"/>
      <c r="B364" s="226"/>
      <c r="C364" s="168">
        <f>VLOOKUP($A363,'Orçamento Sintético'!$A:$H,8,0)</f>
        <v>475.23</v>
      </c>
      <c r="D364" s="172">
        <f>ROUND($C364*D363,2)</f>
        <v>475.23</v>
      </c>
      <c r="E364" s="172">
        <f>ROUND($C364*E363,2)</f>
        <v>0</v>
      </c>
      <c r="F364" s="172">
        <f>C364-SUM(D364:E364)</f>
        <v>0</v>
      </c>
    </row>
    <row r="365" spans="1:6" ht="18" customHeight="1">
      <c r="A365" s="229" t="s">
        <v>960</v>
      </c>
      <c r="B365" s="225" t="str">
        <f>VLOOKUP($A365,'Orçamento Sintético'!$A:$H,4,0)</f>
        <v>Cópia da Sinapi (91788) - (Composição representativa) do serviço de instalação de tubos de PVC, soldável, água fria, DN 60mm (instalado em prumada), inclusive conexões, cortes e fixações, para prédios.</v>
      </c>
      <c r="C365" s="167">
        <f>ROUND(C366/$F$452,4)</f>
        <v>0.0046</v>
      </c>
      <c r="D365" s="171">
        <v>1</v>
      </c>
      <c r="E365" s="171"/>
      <c r="F365" s="171">
        <f>1-SUM(D365:E365)</f>
        <v>0</v>
      </c>
    </row>
    <row r="366" spans="1:6" ht="18" customHeight="1">
      <c r="A366" s="229"/>
      <c r="B366" s="226"/>
      <c r="C366" s="168">
        <f>VLOOKUP($A365,'Orçamento Sintético'!$A:$H,8,0)</f>
        <v>2843.2</v>
      </c>
      <c r="D366" s="172">
        <f>ROUND($C366*D365,2)</f>
        <v>2843.2</v>
      </c>
      <c r="E366" s="172">
        <f>ROUND($C366*E365,2)</f>
        <v>0</v>
      </c>
      <c r="F366" s="172">
        <f>C366-SUM(D366:E366)</f>
        <v>0</v>
      </c>
    </row>
    <row r="367" spans="1:6" ht="18" customHeight="1">
      <c r="A367" s="229" t="s">
        <v>961</v>
      </c>
      <c r="B367" s="225" t="str">
        <f>VLOOKUP($A367,'Orçamento Sintético'!$A:$H,4,0)</f>
        <v>(COMPOSIÇÃO REPRESENTATIVA) DO SERVIÇO DE INSTALAÇÃO DE TUBOS DE PVC, SOLDÁVEL, ÁGUA FRIA, DN 50 MM (INSTALADO EM PRUMADA), INCLUSIVE CONEXÕES, CORTES E FIXAÇÕES, PARA PRÉDIOS. AF_10/2015</v>
      </c>
      <c r="C367" s="167">
        <f>ROUND(C368/$F$452,4)</f>
        <v>0.0044</v>
      </c>
      <c r="D367" s="171">
        <v>1</v>
      </c>
      <c r="E367" s="171"/>
      <c r="F367" s="171">
        <f>1-SUM(D367:E367)</f>
        <v>0</v>
      </c>
    </row>
    <row r="368" spans="1:6" ht="18" customHeight="1">
      <c r="A368" s="229"/>
      <c r="B368" s="226"/>
      <c r="C368" s="168">
        <f>VLOOKUP($A367,'Orçamento Sintético'!$A:$H,8,0)</f>
        <v>2703.97</v>
      </c>
      <c r="D368" s="172">
        <f>ROUND($C368*D367,2)</f>
        <v>2703.97</v>
      </c>
      <c r="E368" s="172">
        <f>ROUND($C368*E367,2)</f>
        <v>0</v>
      </c>
      <c r="F368" s="172">
        <f>C368-SUM(D368:E368)</f>
        <v>0</v>
      </c>
    </row>
    <row r="369" spans="1:6" ht="22.5" customHeight="1">
      <c r="A369" s="229" t="s">
        <v>962</v>
      </c>
      <c r="B369" s="225" t="str">
        <f>VLOOKUP($A369,'Orçamento Sintético'!$A:$H,4,0)</f>
        <v>(COMPOSIÇÃO REPRESENTATIVA) DO SERVIÇO DE INSTALAÇÃO DE TUBOS DE PVC, SOLDÁVEL, ÁGUA FRIA, DN 25 MM (INSTALADO EM RAMAL, SUB-RAMAL, RAMAL DE DISTRIBUIÇÃO OU PRUMADA), INCLUSIVE CONEXÕES, CORTES E FIXAÇÕES, PARA PRÉDIOS. AF_10/2015</v>
      </c>
      <c r="C369" s="167">
        <f>ROUND(C370/$F$452,4)</f>
        <v>0.0018</v>
      </c>
      <c r="D369" s="171">
        <v>1</v>
      </c>
      <c r="E369" s="171"/>
      <c r="F369" s="171">
        <f>1-SUM(D369:E369)</f>
        <v>0</v>
      </c>
    </row>
    <row r="370" spans="1:6" ht="22.5" customHeight="1">
      <c r="A370" s="229"/>
      <c r="B370" s="226"/>
      <c r="C370" s="168">
        <f>VLOOKUP($A369,'Orçamento Sintético'!$A:$H,8,0)</f>
        <v>1114.88</v>
      </c>
      <c r="D370" s="172">
        <f>ROUND($C370*D369,2)</f>
        <v>1114.88</v>
      </c>
      <c r="E370" s="172">
        <f>ROUND($C370*E369,2)</f>
        <v>0</v>
      </c>
      <c r="F370" s="172">
        <f>C370-SUM(D370:E370)</f>
        <v>0</v>
      </c>
    </row>
    <row r="371" spans="1:6" ht="12.75">
      <c r="A371" s="229" t="s">
        <v>963</v>
      </c>
      <c r="B371" s="225" t="str">
        <f>VLOOKUP($A371,'Orçamento Sintético'!$A:$H,4,0)</f>
        <v>TE, PVC, SOLDÁVEL, DN 85MM, INSTALADO EM PRUMADA DE ÁGUA - FORNECIMENTO E INSTALAÇÃO. AF_12/2014</v>
      </c>
      <c r="C371" s="167">
        <f>ROUND(C372/$F$452,4)</f>
        <v>0.0019</v>
      </c>
      <c r="D371" s="171">
        <v>1</v>
      </c>
      <c r="E371" s="171"/>
      <c r="F371" s="171">
        <f>1-SUM(D371:E371)</f>
        <v>0</v>
      </c>
    </row>
    <row r="372" spans="1:6" ht="12.75">
      <c r="A372" s="229"/>
      <c r="B372" s="226"/>
      <c r="C372" s="168">
        <f>VLOOKUP($A371,'Orçamento Sintético'!$A:$H,8,0)</f>
        <v>1177.12</v>
      </c>
      <c r="D372" s="172">
        <f>ROUND($C372*D371,2)</f>
        <v>1177.12</v>
      </c>
      <c r="E372" s="172">
        <f>ROUND($C372*E371,2)</f>
        <v>0</v>
      </c>
      <c r="F372" s="172">
        <f>C372-SUM(D372:E372)</f>
        <v>0</v>
      </c>
    </row>
    <row r="373" spans="1:6" ht="12.75">
      <c r="A373" s="229" t="s">
        <v>964</v>
      </c>
      <c r="B373" s="225" t="str">
        <f>VLOOKUP($A373,'Orçamento Sintético'!$A:$H,4,0)</f>
        <v>JOELHO 90 GRAUS, PVC, SOLDÁVEL, DN 85MM, INSTALADO EM PRUMADA DE ÁGUA - FORNECIMENTO E INSTALAÇÃO. AF_12/2014</v>
      </c>
      <c r="C373" s="167">
        <f>ROUND(C374/$F$452,4)</f>
        <v>0.0005</v>
      </c>
      <c r="D373" s="171">
        <v>1</v>
      </c>
      <c r="E373" s="171"/>
      <c r="F373" s="171">
        <f>1-SUM(D373:E373)</f>
        <v>0</v>
      </c>
    </row>
    <row r="374" spans="1:6" ht="12.75">
      <c r="A374" s="229"/>
      <c r="B374" s="226"/>
      <c r="C374" s="168">
        <f>VLOOKUP($A373,'Orçamento Sintético'!$A:$H,8,0)</f>
        <v>304.86</v>
      </c>
      <c r="D374" s="172">
        <f>ROUND($C374*D373,2)</f>
        <v>304.86</v>
      </c>
      <c r="E374" s="172">
        <f>ROUND($C374*E373,2)</f>
        <v>0</v>
      </c>
      <c r="F374" s="172">
        <f>C374-SUM(D374:E374)</f>
        <v>0</v>
      </c>
    </row>
    <row r="375" spans="1:6" ht="12.75">
      <c r="A375" s="227" t="s">
        <v>965</v>
      </c>
      <c r="B375" s="227" t="str">
        <f>VLOOKUP($A375,'Orçamento Sintético'!$A:$H,4,0)</f>
        <v>SERVIÇOS DIVERSOS</v>
      </c>
      <c r="C375" s="165">
        <f>ROUND(C376/$F$452,4)</f>
        <v>0.0028</v>
      </c>
      <c r="D375" s="165">
        <f>ROUND(D376/$C376,4)</f>
        <v>1</v>
      </c>
      <c r="E375" s="165">
        <f>ROUND(E376/$C376,4)</f>
        <v>0</v>
      </c>
      <c r="F375" s="165">
        <f>ROUND(F376/$C376,4)</f>
        <v>0</v>
      </c>
    </row>
    <row r="376" spans="1:6" ht="12.75">
      <c r="A376" s="228"/>
      <c r="B376" s="228"/>
      <c r="C376" s="166">
        <f>VLOOKUP($A375,'Orçamento Sintético'!$A:$H,8,0)</f>
        <v>1718.86</v>
      </c>
      <c r="D376" s="166">
        <f>D378</f>
        <v>1718.86</v>
      </c>
      <c r="E376" s="166">
        <f>E378</f>
        <v>0</v>
      </c>
      <c r="F376" s="166">
        <f>F378</f>
        <v>0</v>
      </c>
    </row>
    <row r="377" spans="1:6" ht="12.75" customHeight="1">
      <c r="A377" s="227" t="s">
        <v>966</v>
      </c>
      <c r="B377" s="227" t="str">
        <f>VLOOKUP($A377,'Orçamento Sintético'!$A:$H,4,0)</f>
        <v>Serviços diversos</v>
      </c>
      <c r="C377" s="169">
        <f>ROUND(C378/$F$452,4)</f>
        <v>0.0028</v>
      </c>
      <c r="D377" s="169">
        <f>ROUND(D378/$C378,4)</f>
        <v>1</v>
      </c>
      <c r="E377" s="169">
        <f>ROUND(E378/$C378,4)</f>
        <v>0</v>
      </c>
      <c r="F377" s="169">
        <f>ROUND(F378/$C378,4)</f>
        <v>0</v>
      </c>
    </row>
    <row r="378" spans="1:6" ht="12.75" customHeight="1">
      <c r="A378" s="228"/>
      <c r="B378" s="228"/>
      <c r="C378" s="170">
        <f>VLOOKUP($A377,'Orçamento Sintético'!$A:$H,8,0)</f>
        <v>1718.86</v>
      </c>
      <c r="D378" s="170">
        <f>D380+D382+D384+D386+D388+D390</f>
        <v>1718.86</v>
      </c>
      <c r="E378" s="170">
        <f>E380+E382+E384+E386+E388+E390</f>
        <v>0</v>
      </c>
      <c r="F378" s="170">
        <f>F380+F382+F384+F386+F388+F390</f>
        <v>0</v>
      </c>
    </row>
    <row r="379" spans="1:6" ht="12.75">
      <c r="A379" s="229" t="s">
        <v>968</v>
      </c>
      <c r="B379" s="225" t="str">
        <f>VLOOKUP($A379,'Orçamento Sintético'!$A:$H,4,0)</f>
        <v>Copia da CPOS (04.30.060) - Remoção de tubulação hidráulica em geral, incluindo conexões, caixas e ralos</v>
      </c>
      <c r="C379" s="167">
        <f>ROUND(C380/$F$452,4)</f>
        <v>0.0013</v>
      </c>
      <c r="D379" s="171">
        <v>1</v>
      </c>
      <c r="E379" s="171"/>
      <c r="F379" s="171">
        <f>1-SUM(D379:E379)</f>
        <v>0</v>
      </c>
    </row>
    <row r="380" spans="1:6" ht="12.75">
      <c r="A380" s="229"/>
      <c r="B380" s="226"/>
      <c r="C380" s="168">
        <f>VLOOKUP($A379,'Orçamento Sintético'!$A:$H,8,0)</f>
        <v>768.38</v>
      </c>
      <c r="D380" s="172">
        <f>ROUND($C380*D379,2)</f>
        <v>768.38</v>
      </c>
      <c r="E380" s="172">
        <f>ROUND($C380*E379,2)</f>
        <v>0</v>
      </c>
      <c r="F380" s="172">
        <f>C380-SUM(D380:E380)</f>
        <v>0</v>
      </c>
    </row>
    <row r="381" spans="1:6" ht="18" customHeight="1">
      <c r="A381" s="229" t="s">
        <v>969</v>
      </c>
      <c r="B381" s="225" t="str">
        <f>VLOOKUP($A381,'Orçamento Sintético'!$A:$H,4,0)</f>
        <v>FIXAÇÃO DE TUBOS HORIZONTAIS DE PVC, CPVC OU COBRE DIÂMETROS MAIORES QUE 75 MM COM ABRAÇADEIRA METÁLICA FLEXÍVEL 18 MM, FIXADA DIRETAMENTE NA LAJE. AF_05/2015</v>
      </c>
      <c r="C381" s="167">
        <f>ROUND(C382/$F$452,4)</f>
        <v>0.0003</v>
      </c>
      <c r="D381" s="171">
        <v>1</v>
      </c>
      <c r="E381" s="171"/>
      <c r="F381" s="171">
        <f>1-SUM(D381:E381)</f>
        <v>0</v>
      </c>
    </row>
    <row r="382" spans="1:6" ht="18" customHeight="1">
      <c r="A382" s="229"/>
      <c r="B382" s="226"/>
      <c r="C382" s="168">
        <f>VLOOKUP($A381,'Orçamento Sintético'!$A:$H,8,0)</f>
        <v>173.34</v>
      </c>
      <c r="D382" s="172">
        <f>ROUND($C382*D381,2)</f>
        <v>173.34</v>
      </c>
      <c r="E382" s="172">
        <f>ROUND($C382*E381,2)</f>
        <v>0</v>
      </c>
      <c r="F382" s="172">
        <f>C382-SUM(D382:E382)</f>
        <v>0</v>
      </c>
    </row>
    <row r="383" spans="1:6" ht="18" customHeight="1">
      <c r="A383" s="229" t="s">
        <v>970</v>
      </c>
      <c r="B383" s="225" t="str">
        <f>VLOOKUP($A383,'Orçamento Sintético'!$A:$H,4,0)</f>
        <v>FIXAÇÃO DE TUBOS HORIZONTAIS DE PVC, CPVC OU COBRE DIÂMETROS MAIORES QUE 40 MM E MENORES OU IGUAIS A 75 MM COM ABRAÇADEIRA METÁLICA FLEXÍVEL 18 MM, FIXADA DIRETAMENTE NA LAJE. AF_05/2015</v>
      </c>
      <c r="C383" s="167">
        <f>ROUND(C384/$F$452,4)</f>
        <v>0.0007</v>
      </c>
      <c r="D383" s="171">
        <v>1</v>
      </c>
      <c r="E383" s="171"/>
      <c r="F383" s="171">
        <f>1-SUM(D383:E383)</f>
        <v>0</v>
      </c>
    </row>
    <row r="384" spans="1:6" ht="18" customHeight="1">
      <c r="A384" s="229"/>
      <c r="B384" s="226"/>
      <c r="C384" s="168">
        <f>VLOOKUP($A383,'Orçamento Sintético'!$A:$H,8,0)</f>
        <v>441.61</v>
      </c>
      <c r="D384" s="172">
        <f>ROUND($C384*D383,2)</f>
        <v>441.61</v>
      </c>
      <c r="E384" s="172">
        <f>ROUND($C384*E383,2)</f>
        <v>0</v>
      </c>
      <c r="F384" s="172">
        <f>C384-SUM(D384:E384)</f>
        <v>0</v>
      </c>
    </row>
    <row r="385" spans="1:6" ht="12.75" customHeight="1">
      <c r="A385" s="229" t="s">
        <v>971</v>
      </c>
      <c r="B385" s="225" t="str">
        <f>VLOOKUP($A385,'Orçamento Sintético'!$A:$H,4,0)</f>
        <v>ESCAVAÇÃO MANUAL DE VALA COM PROFUNDIDADE MENOR OU IGUAL A 1,30 M. AF_03/2016</v>
      </c>
      <c r="C385" s="167">
        <f>ROUND(C386/$F$452,4)</f>
        <v>0.0001</v>
      </c>
      <c r="D385" s="171">
        <v>1</v>
      </c>
      <c r="E385" s="171"/>
      <c r="F385" s="171">
        <f>1-SUM(D385:E385)</f>
        <v>0</v>
      </c>
    </row>
    <row r="386" spans="1:6" ht="12.75" customHeight="1">
      <c r="A386" s="229"/>
      <c r="B386" s="226"/>
      <c r="C386" s="168">
        <f>VLOOKUP($A385,'Orçamento Sintético'!$A:$H,8,0)</f>
        <v>73.77</v>
      </c>
      <c r="D386" s="172">
        <f>ROUND($C386*D385,2)</f>
        <v>73.77</v>
      </c>
      <c r="E386" s="172">
        <f>ROUND($C386*E385,2)</f>
        <v>0</v>
      </c>
      <c r="F386" s="172">
        <f>C386-SUM(D386:E386)</f>
        <v>0</v>
      </c>
    </row>
    <row r="387" spans="1:6" ht="12.75">
      <c r="A387" s="229" t="s">
        <v>972</v>
      </c>
      <c r="B387" s="225" t="str">
        <f>VLOOKUP($A387,'Orçamento Sintético'!$A:$H,4,0)</f>
        <v>REATERRO MANUAL DE VALAS COM COMPACTAÇÃO MECANIZADA. AF_04/2016</v>
      </c>
      <c r="C387" s="167">
        <f>ROUND(C388/$F$452,4)</f>
        <v>0</v>
      </c>
      <c r="D387" s="171">
        <v>1</v>
      </c>
      <c r="E387" s="171"/>
      <c r="F387" s="171">
        <f>1-SUM(D387:E387)</f>
        <v>0</v>
      </c>
    </row>
    <row r="388" spans="1:6" ht="12.75">
      <c r="A388" s="229"/>
      <c r="B388" s="226"/>
      <c r="C388" s="168">
        <f>VLOOKUP($A387,'Orçamento Sintético'!$A:$H,8,0)</f>
        <v>27.24</v>
      </c>
      <c r="D388" s="172">
        <f>ROUND($C388*D387,2)</f>
        <v>27.24</v>
      </c>
      <c r="E388" s="172">
        <f>ROUND($C388*E387,2)</f>
        <v>0</v>
      </c>
      <c r="F388" s="172">
        <f>C388-SUM(D388:E388)</f>
        <v>0</v>
      </c>
    </row>
    <row r="389" spans="1:6" ht="12.75" customHeight="1">
      <c r="A389" s="229" t="s">
        <v>973</v>
      </c>
      <c r="B389" s="225" t="str">
        <f>VLOOKUP($A389,'Orçamento Sintético'!$A:$H,4,0)</f>
        <v>FURO EM CONCRETO PARA DIÂMETROS MAIORES QUE 75 MM. AF_05/2015</v>
      </c>
      <c r="C389" s="167">
        <f>ROUND(C390/$F$452,4)</f>
        <v>0.0004</v>
      </c>
      <c r="D389" s="171">
        <v>1</v>
      </c>
      <c r="E389" s="171"/>
      <c r="F389" s="171">
        <f>1-SUM(D389:E389)</f>
        <v>0</v>
      </c>
    </row>
    <row r="390" spans="1:6" ht="12.75" customHeight="1">
      <c r="A390" s="229"/>
      <c r="B390" s="226"/>
      <c r="C390" s="168">
        <f>VLOOKUP($A389,'Orçamento Sintético'!$A:$H,8,0)</f>
        <v>234.52</v>
      </c>
      <c r="D390" s="172">
        <f>ROUND($C390*D389,2)</f>
        <v>234.52</v>
      </c>
      <c r="E390" s="172">
        <f>ROUND($C390*E389,2)</f>
        <v>0</v>
      </c>
      <c r="F390" s="172">
        <f>C390-SUM(D390:E390)</f>
        <v>0</v>
      </c>
    </row>
    <row r="391" spans="1:6" ht="12.75">
      <c r="A391" s="238" t="s">
        <v>130</v>
      </c>
      <c r="B391" s="235" t="str">
        <f>VLOOKUP($A391,'Orçamento Sintético'!$A:$H,4,0)</f>
        <v>INSTALAÇÕES MECÂNICAS E DE UTILIDADES</v>
      </c>
      <c r="C391" s="161">
        <f>ROUND(C392/$F$452,4)</f>
        <v>0.0077</v>
      </c>
      <c r="D391" s="162">
        <f>ROUND(D392/$C392,4)</f>
        <v>0.4289</v>
      </c>
      <c r="E391" s="162">
        <f>ROUND(E392/$C392,4)</f>
        <v>0.5</v>
      </c>
      <c r="F391" s="162">
        <f>ROUND(F392/$C392,4)</f>
        <v>0.0711</v>
      </c>
    </row>
    <row r="392" spans="1:6" ht="12.75">
      <c r="A392" s="238"/>
      <c r="B392" s="235"/>
      <c r="C392" s="163">
        <f>VLOOKUP($A391,'Orçamento Sintético'!$A:$H,8,0)</f>
        <v>4743.91</v>
      </c>
      <c r="D392" s="164">
        <f>D394</f>
        <v>2034.51</v>
      </c>
      <c r="E392" s="164">
        <f>E394</f>
        <v>2371.96</v>
      </c>
      <c r="F392" s="164">
        <f>F394</f>
        <v>337.44</v>
      </c>
    </row>
    <row r="393" spans="1:6" ht="12.75" customHeight="1">
      <c r="A393" s="227" t="s">
        <v>974</v>
      </c>
      <c r="B393" s="227" t="str">
        <f>VLOOKUP($A393,'Orçamento Sintético'!$A:$H,4,0)</f>
        <v>Ar Condicionado Central</v>
      </c>
      <c r="C393" s="165">
        <f>ROUND(C394/$F$452,4)</f>
        <v>0.0077</v>
      </c>
      <c r="D393" s="165">
        <f>ROUND(D394/$C394,4)</f>
        <v>0.4289</v>
      </c>
      <c r="E393" s="165">
        <f>ROUND(E394/$C394,4)</f>
        <v>0.5</v>
      </c>
      <c r="F393" s="165">
        <f>ROUND(F394/$C394,4)</f>
        <v>0.0711</v>
      </c>
    </row>
    <row r="394" spans="1:6" ht="12.75" customHeight="1">
      <c r="A394" s="228"/>
      <c r="B394" s="228"/>
      <c r="C394" s="166">
        <f>VLOOKUP($A393,'Orçamento Sintético'!$A:$H,8,0)</f>
        <v>4743.91</v>
      </c>
      <c r="D394" s="166">
        <f>D396</f>
        <v>2034.51</v>
      </c>
      <c r="E394" s="166">
        <f>E396</f>
        <v>2371.96</v>
      </c>
      <c r="F394" s="166">
        <f>F396</f>
        <v>337.44</v>
      </c>
    </row>
    <row r="395" spans="1:6" ht="12.75">
      <c r="A395" s="227" t="s">
        <v>976</v>
      </c>
      <c r="B395" s="227" t="str">
        <f>VLOOKUP($A395,'Orçamento Sintético'!$A:$H,4,0)</f>
        <v>Redes de Dutos</v>
      </c>
      <c r="C395" s="169">
        <f>ROUND(C396/$F$452,4)</f>
        <v>0.0077</v>
      </c>
      <c r="D395" s="169">
        <f>ROUND(D396/$C396,4)</f>
        <v>0.4289</v>
      </c>
      <c r="E395" s="169">
        <f>ROUND(E396/$C396,4)</f>
        <v>0.5</v>
      </c>
      <c r="F395" s="169">
        <f>ROUND(F396/$C396,4)</f>
        <v>0.0711</v>
      </c>
    </row>
    <row r="396" spans="1:6" ht="12.75">
      <c r="A396" s="228"/>
      <c r="B396" s="228"/>
      <c r="C396" s="170">
        <f>VLOOKUP($A395,'Orçamento Sintético'!$A:$H,8,0)</f>
        <v>4743.91</v>
      </c>
      <c r="D396" s="170">
        <f>D398+D400+D402+D404+D406+D408</f>
        <v>2034.51</v>
      </c>
      <c r="E396" s="170">
        <f>E398+E400+E402+E404+E406+E408</f>
        <v>2371.96</v>
      </c>
      <c r="F396" s="170">
        <f>F398+F400+F402+F404+F406+F408</f>
        <v>337.44</v>
      </c>
    </row>
    <row r="397" spans="1:6" ht="22.5" customHeight="1">
      <c r="A397" s="229" t="s">
        <v>978</v>
      </c>
      <c r="B397" s="225" t="str">
        <f>VLOOKUP($A397,'Orçamento Sintético'!$A:$H,4,0)</f>
        <v>Cópia da CPOS (61.10.574) - G2 - Grelha de exaustão, dimensões 225x225mm,  aletas fixas e horizontais, fabricada com perfis de alumínio extrudado, anodizado, na cor natural, incluindo registro de lâminas opostas e dupla deflexão. Modelo de referência: TROX AR/AG</v>
      </c>
      <c r="C397" s="167">
        <f>ROUND(C398/$F$452,4)</f>
        <v>0.001</v>
      </c>
      <c r="D397" s="171">
        <v>0.5</v>
      </c>
      <c r="E397" s="171">
        <v>0.5</v>
      </c>
      <c r="F397" s="171">
        <f>1-SUM(D397:E397)</f>
        <v>0</v>
      </c>
    </row>
    <row r="398" spans="1:6" ht="22.5" customHeight="1">
      <c r="A398" s="229"/>
      <c r="B398" s="226"/>
      <c r="C398" s="168">
        <f>VLOOKUP($A397,'Orçamento Sintético'!$A:$H,8,0)</f>
        <v>641.22</v>
      </c>
      <c r="D398" s="172">
        <f>ROUND($C398*D397,2)</f>
        <v>320.61</v>
      </c>
      <c r="E398" s="172">
        <f>ROUND($C398*E397,2)</f>
        <v>320.61</v>
      </c>
      <c r="F398" s="172">
        <f>C398-SUM(D398:E398)</f>
        <v>0</v>
      </c>
    </row>
    <row r="399" spans="1:6" ht="22.5" customHeight="1">
      <c r="A399" s="229" t="s">
        <v>981</v>
      </c>
      <c r="B399" s="225" t="str">
        <f>VLOOKUP($A399,'Orçamento Sintético'!$A:$H,4,0)</f>
        <v>Cópia da SBC (073893) - G3 - Grelha de exaustão de plástico para duto flexível diâmetro 100mm, com lâminas inclinadas. Modelo de referência: Soler&amp;Palau OTAM GR-100 ou similar equivalente.</v>
      </c>
      <c r="C399" s="167">
        <f>ROUND(C400/$F$452,4)</f>
        <v>0.0002</v>
      </c>
      <c r="D399" s="171">
        <v>0.5</v>
      </c>
      <c r="E399" s="171">
        <v>0.5</v>
      </c>
      <c r="F399" s="171">
        <f>1-SUM(D399:E399)</f>
        <v>0</v>
      </c>
    </row>
    <row r="400" spans="1:6" ht="22.5" customHeight="1">
      <c r="A400" s="229"/>
      <c r="B400" s="226"/>
      <c r="C400" s="168">
        <f>VLOOKUP($A399,'Orçamento Sintético'!$A:$H,8,0)</f>
        <v>105.1</v>
      </c>
      <c r="D400" s="172">
        <f>ROUND($C400*D399,2)</f>
        <v>52.55</v>
      </c>
      <c r="E400" s="172">
        <f>ROUND($C400*E399,2)</f>
        <v>52.55</v>
      </c>
      <c r="F400" s="172">
        <f>C400-SUM(D400:E400)</f>
        <v>0</v>
      </c>
    </row>
    <row r="401" spans="1:6" ht="22.5" customHeight="1">
      <c r="A401" s="229" t="s">
        <v>984</v>
      </c>
      <c r="B401" s="225" t="str">
        <f>VLOOKUP($A401,'Orçamento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C401" s="167">
        <f>ROUND(C402/$F$452,4)</f>
        <v>0.0011</v>
      </c>
      <c r="D401" s="171">
        <v>0.5</v>
      </c>
      <c r="E401" s="171">
        <v>0.5</v>
      </c>
      <c r="F401" s="171">
        <f>1-SUM(D401:E401)</f>
        <v>0</v>
      </c>
    </row>
    <row r="402" spans="1:6" ht="22.5" customHeight="1">
      <c r="A402" s="229"/>
      <c r="B402" s="226"/>
      <c r="C402" s="168">
        <f>VLOOKUP($A401,'Orçamento Sintético'!$A:$H,8,0)</f>
        <v>686.5</v>
      </c>
      <c r="D402" s="172">
        <f>ROUND($C402*D401,2)</f>
        <v>343.25</v>
      </c>
      <c r="E402" s="172">
        <f>ROUND($C402*E401,2)</f>
        <v>343.25</v>
      </c>
      <c r="F402" s="172">
        <f>C402-SUM(D402:E402)</f>
        <v>0</v>
      </c>
    </row>
    <row r="403" spans="1:6" ht="22.5" customHeight="1">
      <c r="A403" s="229" t="s">
        <v>987</v>
      </c>
      <c r="B403" s="225" t="str">
        <f>VLOOKUP($A403,'Orçamento Sintético'!$A:$H,4,0)</f>
        <v>Cópia da SBC (070473) - Duto flexível #250 para ventilação ou exaustão, fabricado em alumínio e poliéster com espiral de arame de aço bronzeado, anticorrosivo e indeformável.  Modelo de referência: Multivac Aludec 60 CO2</v>
      </c>
      <c r="C403" s="167">
        <f>ROUND(C404/$F$452,4)</f>
        <v>0.0002</v>
      </c>
      <c r="D403" s="171">
        <v>0.5</v>
      </c>
      <c r="E403" s="171">
        <v>0.5</v>
      </c>
      <c r="F403" s="171">
        <f>1-SUM(D403:E403)</f>
        <v>0</v>
      </c>
    </row>
    <row r="404" spans="1:6" ht="22.5" customHeight="1">
      <c r="A404" s="229"/>
      <c r="B404" s="226"/>
      <c r="C404" s="168">
        <f>VLOOKUP($A403,'Orçamento Sintético'!$A:$H,8,0)</f>
        <v>98.07</v>
      </c>
      <c r="D404" s="172">
        <f>ROUND($C404*D403,2)</f>
        <v>49.04</v>
      </c>
      <c r="E404" s="172">
        <f>ROUND($C404*E403,2)</f>
        <v>49.04</v>
      </c>
      <c r="F404" s="172">
        <f>C404-SUM(D404:E404)</f>
        <v>-0.010000000000005116</v>
      </c>
    </row>
    <row r="405" spans="1:6" ht="22.5" customHeight="1">
      <c r="A405" s="229" t="s">
        <v>990</v>
      </c>
      <c r="B405" s="225" t="str">
        <f>VLOOKUP($A405,'Orçamento Sintético'!$A:$H,4,0)</f>
        <v>Cópia da CPOS (61.10.574) - G1 - Grelha de exaustão, dimensões 225x125mm,  aletas fixas e horizontais, fabricada com perfis de alumínio extrudado, anodizado, na cor natural, incluindo registro de lâminas opostas e dupla deflexão. Modelo de referência: TROX AR/AG</v>
      </c>
      <c r="C405" s="167">
        <f>ROUND(C406/$F$452,4)</f>
        <v>0.0041</v>
      </c>
      <c r="D405" s="171">
        <v>0.5</v>
      </c>
      <c r="E405" s="171">
        <v>0.5</v>
      </c>
      <c r="F405" s="171">
        <f>1-SUM(D405:E405)</f>
        <v>0</v>
      </c>
    </row>
    <row r="406" spans="1:6" ht="22.5" customHeight="1">
      <c r="A406" s="229"/>
      <c r="B406" s="226"/>
      <c r="C406" s="168">
        <f>VLOOKUP($A405,'Orçamento Sintético'!$A:$H,8,0)</f>
        <v>2538.12</v>
      </c>
      <c r="D406" s="172">
        <f>ROUND($C406*D405,2)</f>
        <v>1269.06</v>
      </c>
      <c r="E406" s="172">
        <f>ROUND($C406*E405,2)</f>
        <v>1269.06</v>
      </c>
      <c r="F406" s="172">
        <f>C406-SUM(D406:E406)</f>
        <v>0</v>
      </c>
    </row>
    <row r="407" spans="1:6" ht="42" customHeight="1">
      <c r="A407" s="229" t="s">
        <v>993</v>
      </c>
      <c r="B407" s="225" t="str">
        <f>VLOOKUP($A407,'Orçamento Sintético'!$A:$H,4,0)</f>
        <v>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 ou similar equivalente.</v>
      </c>
      <c r="C407" s="167">
        <f>ROUND(C408/$F$452,4)</f>
        <v>0.0011</v>
      </c>
      <c r="D407" s="171"/>
      <c r="E407" s="171">
        <v>0.5</v>
      </c>
      <c r="F407" s="171">
        <f>1-SUM(D407:E407)</f>
        <v>0.5</v>
      </c>
    </row>
    <row r="408" spans="1:6" ht="42" customHeight="1">
      <c r="A408" s="229"/>
      <c r="B408" s="226"/>
      <c r="C408" s="168">
        <f>VLOOKUP($A407,'Orçamento Sintético'!$A:$H,8,0)</f>
        <v>674.9</v>
      </c>
      <c r="D408" s="172">
        <f>ROUND($C408*D407,2)</f>
        <v>0</v>
      </c>
      <c r="E408" s="172">
        <f>ROUND($C408*E407,2)</f>
        <v>337.45</v>
      </c>
      <c r="F408" s="172">
        <f>C408-SUM(D408:E408)</f>
        <v>337.45</v>
      </c>
    </row>
    <row r="409" spans="1:6" ht="12.75" customHeight="1">
      <c r="A409" s="238" t="s">
        <v>132</v>
      </c>
      <c r="B409" s="235" t="str">
        <f>VLOOKUP($A409,'Orçamento Sintético'!$A:$H,4,0)</f>
        <v>INSTALAÇÕES DE PREVENÇÃO E COMBATE A INCÊNDIO</v>
      </c>
      <c r="C409" s="161">
        <f>ROUND(C410/$F$452,4)</f>
        <v>0.0002</v>
      </c>
      <c r="D409" s="162">
        <f>ROUND(D410/$C410,4)</f>
        <v>0</v>
      </c>
      <c r="E409" s="162">
        <f>ROUND(E410/$C410,4)</f>
        <v>0</v>
      </c>
      <c r="F409" s="162">
        <f>ROUND(F410/$C410,4)</f>
        <v>1</v>
      </c>
    </row>
    <row r="410" spans="1:6" ht="12.75" customHeight="1">
      <c r="A410" s="238"/>
      <c r="B410" s="235"/>
      <c r="C410" s="163">
        <f>VLOOKUP($A409,'Orçamento Sintético'!$A:$H,8,0)</f>
        <v>121.38</v>
      </c>
      <c r="D410" s="164">
        <f>D412</f>
        <v>0</v>
      </c>
      <c r="E410" s="164">
        <f>E412</f>
        <v>0</v>
      </c>
      <c r="F410" s="164">
        <f>F412</f>
        <v>121.38</v>
      </c>
    </row>
    <row r="411" spans="1:6" ht="12.75">
      <c r="A411" s="227" t="s">
        <v>996</v>
      </c>
      <c r="B411" s="227" t="str">
        <f>VLOOKUP($A411,'Orçamento Sintético'!$A:$H,4,0)</f>
        <v>PREVENÇÃO E COMBATE A INCÊNDIO</v>
      </c>
      <c r="C411" s="165">
        <f>ROUND(C412/$F$452,4)</f>
        <v>0.0002</v>
      </c>
      <c r="D411" s="165">
        <f>ROUND(D412/$C412,4)</f>
        <v>0</v>
      </c>
      <c r="E411" s="165">
        <f>ROUND(E412/$C412,4)</f>
        <v>0</v>
      </c>
      <c r="F411" s="165">
        <f>ROUND(F412/$C412,4)</f>
        <v>1</v>
      </c>
    </row>
    <row r="412" spans="1:6" ht="12.75">
      <c r="A412" s="228"/>
      <c r="B412" s="228"/>
      <c r="C412" s="166">
        <f>VLOOKUP($A411,'Orçamento Sintético'!$A:$H,8,0)</f>
        <v>121.38</v>
      </c>
      <c r="D412" s="166">
        <f>D414</f>
        <v>0</v>
      </c>
      <c r="E412" s="166">
        <f>E414</f>
        <v>0</v>
      </c>
      <c r="F412" s="166">
        <f>F414</f>
        <v>121.38</v>
      </c>
    </row>
    <row r="413" spans="1:6" ht="12.75" customHeight="1">
      <c r="A413" s="227" t="s">
        <v>998</v>
      </c>
      <c r="B413" s="227" t="str">
        <f>VLOOKUP($A413,'Orçamento Sintético'!$A:$H,4,0)</f>
        <v>Sinalização de rota e fuga</v>
      </c>
      <c r="C413" s="169">
        <f>ROUND(C414/$F$452,4)</f>
        <v>0.0002</v>
      </c>
      <c r="D413" s="169">
        <f>ROUND(D414/$C414,4)</f>
        <v>0</v>
      </c>
      <c r="E413" s="169">
        <f>ROUND(E414/$C414,4)</f>
        <v>0</v>
      </c>
      <c r="F413" s="169">
        <f>ROUND(F414/$C414,4)</f>
        <v>1</v>
      </c>
    </row>
    <row r="414" spans="1:6" ht="12.75" customHeight="1">
      <c r="A414" s="228"/>
      <c r="B414" s="228"/>
      <c r="C414" s="170">
        <f>VLOOKUP($A413,'Orçamento Sintético'!$A:$H,8,0)</f>
        <v>121.38</v>
      </c>
      <c r="D414" s="170">
        <f>D416</f>
        <v>0</v>
      </c>
      <c r="E414" s="170">
        <f>E416</f>
        <v>0</v>
      </c>
      <c r="F414" s="170">
        <f>F416</f>
        <v>121.38</v>
      </c>
    </row>
    <row r="415" spans="1:6" ht="30" customHeight="1">
      <c r="A415" s="229" t="s">
        <v>1000</v>
      </c>
      <c r="B415" s="225" t="str">
        <f>VLOOKUP($A415,'Orçamento Sintético'!$A:$H,4,0)</f>
        <v>19a - Placa de Identificação de Pavimento (PIP), 150x150mm, fixada nas superfícies por meio de fita dupla-face, fundo em chapa de acrílico opaca, espessura 3mm, acabamento pintura esmalte automotivo sobre  primer surfacer, referência cromática Verde C60, M0, Y40, K30, símbolo em vinil fotoluminescente, texto em Braile em alto relevo 1mm de PVC conforme NBR 9050.</v>
      </c>
      <c r="C415" s="167">
        <f>ROUND(C416/$F$452,4)</f>
        <v>0.0002</v>
      </c>
      <c r="D415" s="171"/>
      <c r="E415" s="171"/>
      <c r="F415" s="171">
        <f>1-SUM(D415:E415)</f>
        <v>1</v>
      </c>
    </row>
    <row r="416" spans="1:6" ht="30" customHeight="1">
      <c r="A416" s="229"/>
      <c r="B416" s="226"/>
      <c r="C416" s="168">
        <f>VLOOKUP($A415,'Orçamento Sintético'!$A:$H,8,0)</f>
        <v>121.38</v>
      </c>
      <c r="D416" s="172">
        <f>ROUND($C416*D415,2)</f>
        <v>0</v>
      </c>
      <c r="E416" s="172">
        <f>ROUND($C416*E415,2)</f>
        <v>0</v>
      </c>
      <c r="F416" s="172">
        <f>C416-SUM(D416:E416)</f>
        <v>121.38</v>
      </c>
    </row>
    <row r="417" spans="1:6" ht="12.75" customHeight="1">
      <c r="A417" s="238" t="s">
        <v>134</v>
      </c>
      <c r="B417" s="235" t="str">
        <f>VLOOKUP($A417,'Orçamento Sintético'!$A:$H,4,0)</f>
        <v>SERVIÇOS COMPLEMENTARES</v>
      </c>
      <c r="C417" s="161">
        <f>ROUND(C418/$F$452,4)</f>
        <v>0.014</v>
      </c>
      <c r="D417" s="162">
        <f>ROUND(D418/$C418,4)</f>
        <v>0.7311</v>
      </c>
      <c r="E417" s="162">
        <f>ROUND(E418/$C418,4)</f>
        <v>0</v>
      </c>
      <c r="F417" s="162">
        <f>ROUND(F418/$C418,4)</f>
        <v>0.2689</v>
      </c>
    </row>
    <row r="418" spans="1:6" ht="12.75" customHeight="1">
      <c r="A418" s="238"/>
      <c r="B418" s="235"/>
      <c r="C418" s="163">
        <f>VLOOKUP($A417,'Orçamento Sintético'!$A:$H,8,0)</f>
        <v>8575.68</v>
      </c>
      <c r="D418" s="164">
        <f>D420</f>
        <v>6269.92</v>
      </c>
      <c r="E418" s="164">
        <f>E420</f>
        <v>0</v>
      </c>
      <c r="F418" s="164">
        <f>F420</f>
        <v>2305.7599999999998</v>
      </c>
    </row>
    <row r="419" spans="1:6" ht="12.75">
      <c r="A419" s="227" t="s">
        <v>1003</v>
      </c>
      <c r="B419" s="227" t="str">
        <f>VLOOKUP($A419,'Orçamento Sintético'!$A:$H,4,0)</f>
        <v>Limpeza de obra</v>
      </c>
      <c r="C419" s="165">
        <f>ROUND(C420/$F$452,4)</f>
        <v>0.014</v>
      </c>
      <c r="D419" s="165">
        <f>ROUND(D420/$C420,4)</f>
        <v>0.7311</v>
      </c>
      <c r="E419" s="165">
        <f>ROUND(E420/$C420,4)</f>
        <v>0</v>
      </c>
      <c r="F419" s="165">
        <f>ROUND(F420/$C420,4)</f>
        <v>0.2689</v>
      </c>
    </row>
    <row r="420" spans="1:6" ht="12.75">
      <c r="A420" s="228"/>
      <c r="B420" s="228"/>
      <c r="C420" s="166">
        <f>VLOOKUP($A419,'Orçamento Sintético'!$A:$H,8,0)</f>
        <v>8575.68</v>
      </c>
      <c r="D420" s="166">
        <f>D422+D424+D426+D428+D430+D432+D434+D436+D438</f>
        <v>6269.92</v>
      </c>
      <c r="E420" s="166">
        <f>E422+E424+E426+E428+E430+E432+E434+E436+E438</f>
        <v>0</v>
      </c>
      <c r="F420" s="166">
        <f>F422+F424+F426+F428+F430+F432+F434+F436+F438</f>
        <v>2305.7599999999998</v>
      </c>
    </row>
    <row r="421" spans="1:6" ht="12.75">
      <c r="A421" s="229" t="s">
        <v>1005</v>
      </c>
      <c r="B421" s="225" t="str">
        <f>VLOOKUP($A421,'Orçamento Sintético'!$A:$H,4,0)</f>
        <v>Transporte de material – bota-fora, D.M.T = 80,0 km</v>
      </c>
      <c r="C421" s="167">
        <f>ROUND(C422/$F$452,4)</f>
        <v>0.0085</v>
      </c>
      <c r="D421" s="171">
        <v>1</v>
      </c>
      <c r="E421" s="171"/>
      <c r="F421" s="171">
        <f>1-SUM(D421:E421)</f>
        <v>0</v>
      </c>
    </row>
    <row r="422" spans="1:6" ht="12.75">
      <c r="A422" s="229"/>
      <c r="B422" s="226"/>
      <c r="C422" s="168">
        <f>VLOOKUP($A421,'Orçamento Sintético'!$A:$H,8,0)</f>
        <v>5243.92</v>
      </c>
      <c r="D422" s="172">
        <f>ROUND($C422*D421,2)</f>
        <v>5243.92</v>
      </c>
      <c r="E422" s="172">
        <f>ROUND($C422*E421,2)</f>
        <v>0</v>
      </c>
      <c r="F422" s="172">
        <f>C422-SUM(D422:E422)</f>
        <v>0</v>
      </c>
    </row>
    <row r="423" spans="1:6" ht="12.75">
      <c r="A423" s="229" t="s">
        <v>1008</v>
      </c>
      <c r="B423" s="225" t="str">
        <f>VLOOKUP($A423,'Orçamento Sintético'!$A:$H,4,0)</f>
        <v>TRANSPORTE HORIZONTAL MANUAL, DE SACOS DE 30 KG (UNIDADE: KGXKM). AF_07/2019</v>
      </c>
      <c r="C423" s="167">
        <f>ROUND(C424/$F$452,4)</f>
        <v>0.0008</v>
      </c>
      <c r="D423" s="171">
        <v>1</v>
      </c>
      <c r="E423" s="171"/>
      <c r="F423" s="171">
        <f>1-SUM(D423:E423)</f>
        <v>0</v>
      </c>
    </row>
    <row r="424" spans="1:6" ht="12.75">
      <c r="A424" s="229"/>
      <c r="B424" s="226"/>
      <c r="C424" s="168">
        <f>VLOOKUP($A423,'Orçamento Sintético'!$A:$H,8,0)</f>
        <v>513</v>
      </c>
      <c r="D424" s="172">
        <f>ROUND($C424*D423,2)</f>
        <v>513</v>
      </c>
      <c r="E424" s="172">
        <f>ROUND($C424*E423,2)</f>
        <v>0</v>
      </c>
      <c r="F424" s="172">
        <f>C424-SUM(D424:E424)</f>
        <v>0</v>
      </c>
    </row>
    <row r="425" spans="1:6" ht="12.75">
      <c r="A425" s="229" t="s">
        <v>1009</v>
      </c>
      <c r="B425" s="225" t="str">
        <f>VLOOKUP($A425,'Orçamento Sintético'!$A:$H,4,0)</f>
        <v>TRANSPORTE HORIZONTAL MANUAL, DE SACOS DE 30 KG (UNIDADE: KGXKM). AF_07/2019</v>
      </c>
      <c r="C425" s="167">
        <f>ROUND(C426/$F$452,4)</f>
        <v>0.0008</v>
      </c>
      <c r="D425" s="171">
        <v>1</v>
      </c>
      <c r="E425" s="171"/>
      <c r="F425" s="171">
        <f>1-SUM(D425:E425)</f>
        <v>0</v>
      </c>
    </row>
    <row r="426" spans="1:6" ht="12.75">
      <c r="A426" s="229"/>
      <c r="B426" s="226"/>
      <c r="C426" s="168">
        <f>VLOOKUP($A425,'Orçamento Sintético'!$A:$H,8,0)</f>
        <v>513</v>
      </c>
      <c r="D426" s="172">
        <f>ROUND($C426*D425,2)</f>
        <v>513</v>
      </c>
      <c r="E426" s="172">
        <f>ROUND($C426*E425,2)</f>
        <v>0</v>
      </c>
      <c r="F426" s="172">
        <f>C426-SUM(D426:E426)</f>
        <v>0</v>
      </c>
    </row>
    <row r="427" spans="1:6" ht="12.75">
      <c r="A427" s="229" t="s">
        <v>1010</v>
      </c>
      <c r="B427" s="225" t="str">
        <f>VLOOKUP($A427,'Orçamento Sintético'!$A:$H,4,0)</f>
        <v>LIMPEZA DE PISO CERÂMICO OU PORCELANATO COM PANO ÚMIDO. AF_04/2019</v>
      </c>
      <c r="C427" s="167">
        <f>ROUND(C428/$F$452,4)</f>
        <v>0.0014</v>
      </c>
      <c r="D427" s="171"/>
      <c r="E427" s="171"/>
      <c r="F427" s="171">
        <f>1-SUM(D427:E427)</f>
        <v>1</v>
      </c>
    </row>
    <row r="428" spans="1:6" ht="12.75">
      <c r="A428" s="229"/>
      <c r="B428" s="226"/>
      <c r="C428" s="168">
        <f>VLOOKUP($A427,'Orçamento Sintético'!$A:$H,8,0)</f>
        <v>851.4</v>
      </c>
      <c r="D428" s="172">
        <f>ROUND($C428*D427,2)</f>
        <v>0</v>
      </c>
      <c r="E428" s="172">
        <f>ROUND($C428*E427,2)</f>
        <v>0</v>
      </c>
      <c r="F428" s="172">
        <f>C428-SUM(D428:E428)</f>
        <v>851.4</v>
      </c>
    </row>
    <row r="429" spans="1:6" ht="12.75">
      <c r="A429" s="229" t="s">
        <v>1011</v>
      </c>
      <c r="B429" s="225" t="str">
        <f>VLOOKUP($A429,'Orçamento Sintético'!$A:$H,4,0)</f>
        <v>LIMPEZA DE LAVATÓRIO DE LOUÇA COM BANCADA DE PEDRA, INCLUSIVE METAIS CORRESPONDENTES. AF_04/2019</v>
      </c>
      <c r="C429" s="167">
        <f>ROUND(C430/$F$452,4)</f>
        <v>0.0002</v>
      </c>
      <c r="D429" s="171"/>
      <c r="E429" s="171"/>
      <c r="F429" s="171">
        <f>1-SUM(D429:E429)</f>
        <v>1</v>
      </c>
    </row>
    <row r="430" spans="1:6" ht="12.75">
      <c r="A430" s="229"/>
      <c r="B430" s="226"/>
      <c r="C430" s="168">
        <f>VLOOKUP($A429,'Orçamento Sintético'!$A:$H,8,0)</f>
        <v>102.81</v>
      </c>
      <c r="D430" s="172">
        <f>ROUND($C430*D429,2)</f>
        <v>0</v>
      </c>
      <c r="E430" s="172">
        <f>ROUND($C430*E429,2)</f>
        <v>0</v>
      </c>
      <c r="F430" s="172">
        <f>C430-SUM(D430:E430)</f>
        <v>102.81</v>
      </c>
    </row>
    <row r="431" spans="1:6" ht="12.75">
      <c r="A431" s="229" t="s">
        <v>1012</v>
      </c>
      <c r="B431" s="225" t="str">
        <f>VLOOKUP($A431,'Orçamento Sintético'!$A:$H,4,0)</f>
        <v>LIMPEZA DE CONTRAPISO COM VASSOURA A SECO. AF_04/2019</v>
      </c>
      <c r="C431" s="167">
        <f>ROUND(C432/$F$452,4)</f>
        <v>0.0005</v>
      </c>
      <c r="D431" s="171"/>
      <c r="E431" s="171"/>
      <c r="F431" s="171">
        <f>1-SUM(D431:E431)</f>
        <v>1</v>
      </c>
    </row>
    <row r="432" spans="1:6" ht="12.75">
      <c r="A432" s="229"/>
      <c r="B432" s="226"/>
      <c r="C432" s="168">
        <f>VLOOKUP($A431,'Orçamento Sintético'!$A:$H,8,0)</f>
        <v>285.51</v>
      </c>
      <c r="D432" s="172">
        <f>ROUND($C432*D431,2)</f>
        <v>0</v>
      </c>
      <c r="E432" s="172">
        <f>ROUND($C432*E431,2)</f>
        <v>0</v>
      </c>
      <c r="F432" s="172">
        <f>C432-SUM(D432:E432)</f>
        <v>285.51</v>
      </c>
    </row>
    <row r="433" spans="1:6" ht="12.75">
      <c r="A433" s="229" t="s">
        <v>1013</v>
      </c>
      <c r="B433" s="225" t="str">
        <f>VLOOKUP($A433,'Orçamento Sintético'!$A:$H,4,0)</f>
        <v>LIMPEZA DE REVESTIMENTO CERÂMICO EM PAREDE COM PANO ÚMIDO AF_04/2019</v>
      </c>
      <c r="C433" s="167">
        <f>ROUND(C434/$F$452,4)</f>
        <v>0.0014</v>
      </c>
      <c r="D433" s="171"/>
      <c r="E433" s="171"/>
      <c r="F433" s="171">
        <f>1-SUM(D433:E433)</f>
        <v>1</v>
      </c>
    </row>
    <row r="434" spans="1:6" ht="12.75">
      <c r="A434" s="229"/>
      <c r="B434" s="226"/>
      <c r="C434" s="168">
        <f>VLOOKUP($A433,'Orçamento Sintético'!$A:$H,8,0)</f>
        <v>839.9</v>
      </c>
      <c r="D434" s="172">
        <f>ROUND($C434*D433,2)</f>
        <v>0</v>
      </c>
      <c r="E434" s="172">
        <f>ROUND($C434*E433,2)</f>
        <v>0</v>
      </c>
      <c r="F434" s="172">
        <f>C434-SUM(D434:E434)</f>
        <v>839.9</v>
      </c>
    </row>
    <row r="435" spans="1:6" ht="12.75">
      <c r="A435" s="229" t="s">
        <v>1014</v>
      </c>
      <c r="B435" s="225" t="str">
        <f>VLOOKUP($A435,'Orçamento Sintético'!$A:$H,4,0)</f>
        <v>LIMPEZA DE PORTA DE VIDRO COM CAIXILHO EM AÇO/ ALUMÍNIO/ PVC. AF_04/2019</v>
      </c>
      <c r="C435" s="167">
        <f>ROUND(C436/$F$452,4)</f>
        <v>0.0002</v>
      </c>
      <c r="D435" s="171"/>
      <c r="E435" s="171"/>
      <c r="F435" s="171">
        <f>1-SUM(D435:E435)</f>
        <v>1</v>
      </c>
    </row>
    <row r="436" spans="1:6" ht="12.75">
      <c r="A436" s="229"/>
      <c r="B436" s="226"/>
      <c r="C436" s="168">
        <f>VLOOKUP($A435,'Orçamento Sintético'!$A:$H,8,0)</f>
        <v>100.98</v>
      </c>
      <c r="D436" s="172">
        <f>ROUND($C436*D435,2)</f>
        <v>0</v>
      </c>
      <c r="E436" s="172">
        <f>ROUND($C436*E435,2)</f>
        <v>0</v>
      </c>
      <c r="F436" s="172">
        <f>C436-SUM(D436:E436)</f>
        <v>100.98</v>
      </c>
    </row>
    <row r="437" spans="1:6" ht="12.75">
      <c r="A437" s="229" t="s">
        <v>1015</v>
      </c>
      <c r="B437" s="225" t="str">
        <f>VLOOKUP($A437,'Orçamento Sintético'!$A:$H,4,0)</f>
        <v>LIMPEZA DE BACIA SANITÁRIA, BIDÊ OU MICTÓRIO EM LOUÇA, INCLUSIVE METAIS CORRESPONDENTES. AF_04/2019</v>
      </c>
      <c r="C437" s="167">
        <f>ROUND(C438/$F$452,4)</f>
        <v>0.0002</v>
      </c>
      <c r="D437" s="171"/>
      <c r="E437" s="171"/>
      <c r="F437" s="171">
        <f>1-SUM(D437:E437)</f>
        <v>1</v>
      </c>
    </row>
    <row r="438" spans="1:6" ht="12.75">
      <c r="A438" s="229"/>
      <c r="B438" s="226"/>
      <c r="C438" s="168">
        <f>VLOOKUP($A437,'Orçamento Sintético'!$A:$H,8,0)</f>
        <v>125.16</v>
      </c>
      <c r="D438" s="172">
        <f>ROUND($C438*D437,2)</f>
        <v>0</v>
      </c>
      <c r="E438" s="172">
        <f>ROUND($C438*E437,2)</f>
        <v>0</v>
      </c>
      <c r="F438" s="172">
        <f>C438-SUM(D438:E438)</f>
        <v>125.16</v>
      </c>
    </row>
    <row r="439" spans="1:6" ht="18.75" customHeight="1">
      <c r="A439" s="238" t="s">
        <v>136</v>
      </c>
      <c r="B439" s="235" t="str">
        <f>VLOOKUP($A439,'Orçamento Sintético'!$A:$H,4,0)</f>
        <v>SERVIÇOS AUXILIARES E ADMINISTRATIVOS</v>
      </c>
      <c r="C439" s="161">
        <f>ROUND(C440/$F$452,4)</f>
        <v>0.0309</v>
      </c>
      <c r="D439" s="162">
        <f>ROUND(D440/$C440,4)</f>
        <v>0.3072</v>
      </c>
      <c r="E439" s="162">
        <f>ROUND(E440/$C440,4)</f>
        <v>0.3129</v>
      </c>
      <c r="F439" s="162">
        <f>ROUND(F440/$C440,4)</f>
        <v>0.3799</v>
      </c>
    </row>
    <row r="440" spans="1:6" ht="18.75" customHeight="1">
      <c r="A440" s="238"/>
      <c r="B440" s="235"/>
      <c r="C440" s="163">
        <f>VLOOKUP($A439,'Orçamento Sintético'!$A:$H,8,0)</f>
        <v>18963.059999999998</v>
      </c>
      <c r="D440" s="164">
        <f>D442</f>
        <v>5824.99</v>
      </c>
      <c r="E440" s="164">
        <f>E442</f>
        <v>5933.1900000000005</v>
      </c>
      <c r="F440" s="164">
        <f>F442</f>
        <v>7204.879999999999</v>
      </c>
    </row>
    <row r="441" spans="1:6" ht="12.75" customHeight="1">
      <c r="A441" s="227" t="s">
        <v>1016</v>
      </c>
      <c r="B441" s="227" t="str">
        <f>VLOOKUP($A441,'Orçamento Sintético'!$A:$H,4,0)</f>
        <v>Pessoal</v>
      </c>
      <c r="C441" s="165">
        <f>ROUND(C442/$F$452,4)</f>
        <v>0.0309</v>
      </c>
      <c r="D441" s="165">
        <f>ROUND(D442/$C442,4)</f>
        <v>0.3072</v>
      </c>
      <c r="E441" s="165">
        <f>ROUND(E442/$C442,4)</f>
        <v>0.3129</v>
      </c>
      <c r="F441" s="165">
        <f>ROUND(F442/$C442,4)</f>
        <v>0.3799</v>
      </c>
    </row>
    <row r="442" spans="1:6" ht="12.75" customHeight="1">
      <c r="A442" s="228"/>
      <c r="B442" s="228"/>
      <c r="C442" s="166">
        <f>VLOOKUP($A441,'Orçamento Sintético'!$A:$H,8,0)</f>
        <v>18963.059999999998</v>
      </c>
      <c r="D442" s="166">
        <f>D444+D446</f>
        <v>5824.99</v>
      </c>
      <c r="E442" s="166">
        <f>E444+E446</f>
        <v>5933.1900000000005</v>
      </c>
      <c r="F442" s="166">
        <f>F444+F446</f>
        <v>7204.879999999999</v>
      </c>
    </row>
    <row r="443" spans="1:6" ht="12.75">
      <c r="A443" s="229" t="s">
        <v>1018</v>
      </c>
      <c r="B443" s="225" t="str">
        <f>VLOOKUP($A443,'Orçamento Sintético'!$A:$H,4,0)</f>
        <v>ENCARREGADO GERAL DE OBRAS COM ENCARGOS COMPLEMENTARES</v>
      </c>
      <c r="C443" s="167">
        <f>ROUND(C444/$F$452,4)</f>
        <v>0.0176</v>
      </c>
      <c r="D443" s="171">
        <v>0.29</v>
      </c>
      <c r="E443" s="171">
        <v>0.3</v>
      </c>
      <c r="F443" s="171">
        <v>0.41</v>
      </c>
    </row>
    <row r="444" spans="1:6" ht="12.75">
      <c r="A444" s="229"/>
      <c r="B444" s="226"/>
      <c r="C444" s="168">
        <f>VLOOKUP($A443,'Orçamento Sintético'!$A:$H,8,0)</f>
        <v>10820.64</v>
      </c>
      <c r="D444" s="172">
        <f>ROUND($C444*D443,2)</f>
        <v>3137.99</v>
      </c>
      <c r="E444" s="172">
        <f>ROUND($C444*E443,2)</f>
        <v>3246.19</v>
      </c>
      <c r="F444" s="172">
        <f>C444-SUM(D444:E444)</f>
        <v>4436.459999999999</v>
      </c>
    </row>
    <row r="445" spans="1:6" ht="12.75" customHeight="1">
      <c r="A445" s="229" t="s">
        <v>1019</v>
      </c>
      <c r="B445" s="225" t="str">
        <f>VLOOKUP($A445,'Orçamento Sintético'!$A:$H,4,0)</f>
        <v>ENGENHEIRO CIVIL DE OBRA PLENO COM ENCARGOS COMPLEMENTARES</v>
      </c>
      <c r="C445" s="167">
        <f>ROUND(C446/$F$452,4)</f>
        <v>0.0133</v>
      </c>
      <c r="D445" s="171">
        <v>0.33</v>
      </c>
      <c r="E445" s="171">
        <v>0.33</v>
      </c>
      <c r="F445" s="171">
        <f>1-SUM(D445:E445)</f>
        <v>0.33999999999999997</v>
      </c>
    </row>
    <row r="446" spans="1:6" ht="12.75">
      <c r="A446" s="229"/>
      <c r="B446" s="226"/>
      <c r="C446" s="168">
        <f>VLOOKUP($A445,'Orçamento Sintético'!$A:$H,8,0)</f>
        <v>8142.42</v>
      </c>
      <c r="D446" s="172">
        <f>ROUND($C446*D445,2)</f>
        <v>2687</v>
      </c>
      <c r="E446" s="172">
        <f>ROUND($C446*E445,2)</f>
        <v>2687</v>
      </c>
      <c r="F446" s="172">
        <f>C446-SUM(D446:E446)</f>
        <v>2768.42</v>
      </c>
    </row>
    <row r="447" spans="1:6" ht="12.75" customHeight="1">
      <c r="A447" s="230" t="s">
        <v>627</v>
      </c>
      <c r="B447" s="230"/>
      <c r="C447" s="72"/>
      <c r="D447" s="73">
        <f>ROUND(D448/$F$452,4)</f>
        <v>0.2794</v>
      </c>
      <c r="E447" s="73">
        <f>ROUND(E448/$F$452,4)</f>
        <v>0.3059</v>
      </c>
      <c r="F447" s="73">
        <f>ROUND(F448/$F$452,4)</f>
        <v>0.4146</v>
      </c>
    </row>
    <row r="448" spans="1:6" ht="12.75" customHeight="1">
      <c r="A448" s="232" t="s">
        <v>628</v>
      </c>
      <c r="B448" s="232"/>
      <c r="C448" s="72"/>
      <c r="D448" s="74">
        <f>D10+D16+D70+D260+D308+D392+D410+D418+D440</f>
        <v>171599.1</v>
      </c>
      <c r="E448" s="74">
        <f>E10+E16+E70+E260+E308+E392+E410+E418+E440</f>
        <v>187869.04999999996</v>
      </c>
      <c r="F448" s="74">
        <f>F10+F16+F70+F260+F308+F392+F410+F418+F440</f>
        <v>254618.49000000002</v>
      </c>
    </row>
    <row r="449" spans="1:6" ht="12.75" customHeight="1">
      <c r="A449" s="231" t="s">
        <v>568</v>
      </c>
      <c r="B449" s="231"/>
      <c r="C449" s="72"/>
      <c r="D449" s="75">
        <f>TRUNC(D448*'Composição de BDI'!$D$23,2)</f>
        <v>37957.72</v>
      </c>
      <c r="E449" s="75">
        <f>TRUNC(E448*'Composição de BDI'!$D$23,2)</f>
        <v>41556.63</v>
      </c>
      <c r="F449" s="75">
        <f>TRUNC(F448*'Composição de BDI'!$D$23,2)</f>
        <v>56321.6</v>
      </c>
    </row>
    <row r="450" spans="1:6" ht="12.75" customHeight="1">
      <c r="A450" s="233" t="s">
        <v>629</v>
      </c>
      <c r="B450" s="233"/>
      <c r="C450" s="76"/>
      <c r="D450" s="77">
        <f>TRUNC(SUM(D448:D449),2)</f>
        <v>209556.82</v>
      </c>
      <c r="E450" s="77">
        <f>TRUNC(SUM(E448:E449),2)</f>
        <v>229425.68</v>
      </c>
      <c r="F450" s="77">
        <f>TRUNC(SUM(F448:F449),2)</f>
        <v>310940.09</v>
      </c>
    </row>
    <row r="451" spans="1:6" ht="12.75" customHeight="1">
      <c r="A451" s="230" t="s">
        <v>630</v>
      </c>
      <c r="B451" s="230"/>
      <c r="C451" s="72"/>
      <c r="D451" s="73">
        <f>D447</f>
        <v>0.2794</v>
      </c>
      <c r="E451" s="73">
        <f>D451+E447</f>
        <v>0.5852999999999999</v>
      </c>
      <c r="F451" s="73">
        <f>E451+F447</f>
        <v>0.9999</v>
      </c>
    </row>
    <row r="452" spans="1:6" ht="12.75" customHeight="1">
      <c r="A452" s="231" t="s">
        <v>631</v>
      </c>
      <c r="B452" s="231"/>
      <c r="C452" s="72"/>
      <c r="D452" s="74">
        <f>D448</f>
        <v>171599.1</v>
      </c>
      <c r="E452" s="74">
        <f>D452+E448</f>
        <v>359468.14999999997</v>
      </c>
      <c r="F452" s="74">
        <f>E452+F448</f>
        <v>614086.64</v>
      </c>
    </row>
    <row r="453" spans="1:6" ht="12.75" customHeight="1">
      <c r="A453" s="233" t="s">
        <v>632</v>
      </c>
      <c r="B453" s="233"/>
      <c r="C453" s="76"/>
      <c r="D453" s="77">
        <f>D450</f>
        <v>209556.82</v>
      </c>
      <c r="E453" s="77">
        <f>D453+E450</f>
        <v>438982.5</v>
      </c>
      <c r="F453" s="77">
        <f>E453+F450</f>
        <v>749922.5900000001</v>
      </c>
    </row>
  </sheetData>
  <sheetProtection sheet="1" objects="1" scenarios="1"/>
  <mergeCells count="447">
    <mergeCell ref="A19:A20"/>
    <mergeCell ref="B19:B20"/>
    <mergeCell ref="A21:A22"/>
    <mergeCell ref="B21:B22"/>
    <mergeCell ref="A23:A24"/>
    <mergeCell ref="B23:B24"/>
    <mergeCell ref="A25:A26"/>
    <mergeCell ref="B25:B26"/>
    <mergeCell ref="D1:F6"/>
    <mergeCell ref="A7:F7"/>
    <mergeCell ref="A17:A18"/>
    <mergeCell ref="B17:B18"/>
    <mergeCell ref="B13:B14"/>
    <mergeCell ref="A15:A16"/>
    <mergeCell ref="B15:B16"/>
    <mergeCell ref="A27:A28"/>
    <mergeCell ref="B27:B28"/>
    <mergeCell ref="A29:A30"/>
    <mergeCell ref="B29:B30"/>
    <mergeCell ref="A31:A32"/>
    <mergeCell ref="B31:B32"/>
    <mergeCell ref="A33:A34"/>
    <mergeCell ref="B33:B34"/>
    <mergeCell ref="A43:A44"/>
    <mergeCell ref="B43:B44"/>
    <mergeCell ref="A45:A46"/>
    <mergeCell ref="B45:B46"/>
    <mergeCell ref="A47:A48"/>
    <mergeCell ref="B47:B48"/>
    <mergeCell ref="A49:A50"/>
    <mergeCell ref="B49:B50"/>
    <mergeCell ref="A41:A42"/>
    <mergeCell ref="B41:B42"/>
    <mergeCell ref="A35:A36"/>
    <mergeCell ref="B35:B36"/>
    <mergeCell ref="A37:A38"/>
    <mergeCell ref="B37:B38"/>
    <mergeCell ref="A39:A40"/>
    <mergeCell ref="B39:B40"/>
    <mergeCell ref="A51:A52"/>
    <mergeCell ref="B51:B52"/>
    <mergeCell ref="A53:A54"/>
    <mergeCell ref="B53:B54"/>
    <mergeCell ref="A55:A56"/>
    <mergeCell ref="B55:B56"/>
    <mergeCell ref="A57:A58"/>
    <mergeCell ref="B57:B58"/>
    <mergeCell ref="A67:A68"/>
    <mergeCell ref="B67:B68"/>
    <mergeCell ref="A69:A70"/>
    <mergeCell ref="B69:B70"/>
    <mergeCell ref="A71:A72"/>
    <mergeCell ref="B71:B72"/>
    <mergeCell ref="A73:A74"/>
    <mergeCell ref="B73:B74"/>
    <mergeCell ref="A65:A66"/>
    <mergeCell ref="B65:B66"/>
    <mergeCell ref="A59:A60"/>
    <mergeCell ref="B59:B60"/>
    <mergeCell ref="A61:A62"/>
    <mergeCell ref="B61:B62"/>
    <mergeCell ref="A63:A64"/>
    <mergeCell ref="B63:B64"/>
    <mergeCell ref="A75:A76"/>
    <mergeCell ref="B75:B76"/>
    <mergeCell ref="A77:A78"/>
    <mergeCell ref="B77:B78"/>
    <mergeCell ref="A79:A80"/>
    <mergeCell ref="B79:B80"/>
    <mergeCell ref="A81:A82"/>
    <mergeCell ref="B81:B82"/>
    <mergeCell ref="A91:A92"/>
    <mergeCell ref="B91:B92"/>
    <mergeCell ref="A93:A94"/>
    <mergeCell ref="B93:B94"/>
    <mergeCell ref="A95:A96"/>
    <mergeCell ref="B95:B96"/>
    <mergeCell ref="A97:A98"/>
    <mergeCell ref="B97:B98"/>
    <mergeCell ref="A89:A90"/>
    <mergeCell ref="B89:B90"/>
    <mergeCell ref="A83:A84"/>
    <mergeCell ref="B83:B84"/>
    <mergeCell ref="A85:A86"/>
    <mergeCell ref="B85:B86"/>
    <mergeCell ref="A87:A88"/>
    <mergeCell ref="B87:B88"/>
    <mergeCell ref="A99:A100"/>
    <mergeCell ref="B99:B100"/>
    <mergeCell ref="A101:A102"/>
    <mergeCell ref="B101:B102"/>
    <mergeCell ref="A103:A104"/>
    <mergeCell ref="B103:B104"/>
    <mergeCell ref="A105:A106"/>
    <mergeCell ref="B105:B106"/>
    <mergeCell ref="A115:A116"/>
    <mergeCell ref="B115:B116"/>
    <mergeCell ref="A117:A118"/>
    <mergeCell ref="B117:B118"/>
    <mergeCell ref="A119:A120"/>
    <mergeCell ref="B119:B120"/>
    <mergeCell ref="A121:A122"/>
    <mergeCell ref="B121:B122"/>
    <mergeCell ref="A113:A114"/>
    <mergeCell ref="B113:B114"/>
    <mergeCell ref="A107:A108"/>
    <mergeCell ref="B107:B108"/>
    <mergeCell ref="A109:A110"/>
    <mergeCell ref="B109:B110"/>
    <mergeCell ref="A111:A112"/>
    <mergeCell ref="B111:B112"/>
    <mergeCell ref="A123:A124"/>
    <mergeCell ref="B123:B124"/>
    <mergeCell ref="A125:A126"/>
    <mergeCell ref="B125:B126"/>
    <mergeCell ref="A127:A128"/>
    <mergeCell ref="B127:B128"/>
    <mergeCell ref="A129:A130"/>
    <mergeCell ref="B129:B130"/>
    <mergeCell ref="A139:A140"/>
    <mergeCell ref="B139:B140"/>
    <mergeCell ref="A141:A142"/>
    <mergeCell ref="B141:B142"/>
    <mergeCell ref="A143:A144"/>
    <mergeCell ref="B143:B144"/>
    <mergeCell ref="A145:A146"/>
    <mergeCell ref="B145:B146"/>
    <mergeCell ref="A137:A138"/>
    <mergeCell ref="B137:B138"/>
    <mergeCell ref="A131:A132"/>
    <mergeCell ref="B131:B132"/>
    <mergeCell ref="A133:A134"/>
    <mergeCell ref="B133:B134"/>
    <mergeCell ref="A135:A136"/>
    <mergeCell ref="B135:B136"/>
    <mergeCell ref="A147:A148"/>
    <mergeCell ref="B147:B148"/>
    <mergeCell ref="A149:A150"/>
    <mergeCell ref="B149:B150"/>
    <mergeCell ref="A151:A152"/>
    <mergeCell ref="B151:B152"/>
    <mergeCell ref="A153:A154"/>
    <mergeCell ref="B153:B154"/>
    <mergeCell ref="A163:A164"/>
    <mergeCell ref="B163:B164"/>
    <mergeCell ref="A165:A166"/>
    <mergeCell ref="B165:B166"/>
    <mergeCell ref="A167:A168"/>
    <mergeCell ref="B167:B168"/>
    <mergeCell ref="A169:A170"/>
    <mergeCell ref="B169:B170"/>
    <mergeCell ref="A161:A162"/>
    <mergeCell ref="B161:B162"/>
    <mergeCell ref="A155:A156"/>
    <mergeCell ref="B155:B156"/>
    <mergeCell ref="A157:A158"/>
    <mergeCell ref="B157:B158"/>
    <mergeCell ref="A159:A160"/>
    <mergeCell ref="B159:B160"/>
    <mergeCell ref="A171:A172"/>
    <mergeCell ref="B171:B172"/>
    <mergeCell ref="A173:A174"/>
    <mergeCell ref="B173:B174"/>
    <mergeCell ref="A175:A176"/>
    <mergeCell ref="B175:B176"/>
    <mergeCell ref="A177:A178"/>
    <mergeCell ref="B177:B178"/>
    <mergeCell ref="A187:A188"/>
    <mergeCell ref="B187:B188"/>
    <mergeCell ref="A189:A190"/>
    <mergeCell ref="B189:B190"/>
    <mergeCell ref="A191:A192"/>
    <mergeCell ref="B191:B192"/>
    <mergeCell ref="A193:A194"/>
    <mergeCell ref="B193:B194"/>
    <mergeCell ref="A185:A186"/>
    <mergeCell ref="B185:B186"/>
    <mergeCell ref="A179:A180"/>
    <mergeCell ref="B179:B180"/>
    <mergeCell ref="A181:A182"/>
    <mergeCell ref="B181:B182"/>
    <mergeCell ref="A183:A184"/>
    <mergeCell ref="B183:B184"/>
    <mergeCell ref="A195:A196"/>
    <mergeCell ref="B195:B196"/>
    <mergeCell ref="A197:A198"/>
    <mergeCell ref="B197:B198"/>
    <mergeCell ref="A199:A200"/>
    <mergeCell ref="B199:B200"/>
    <mergeCell ref="A201:A202"/>
    <mergeCell ref="B201:B202"/>
    <mergeCell ref="A211:A212"/>
    <mergeCell ref="B211:B212"/>
    <mergeCell ref="A213:A214"/>
    <mergeCell ref="B213:B214"/>
    <mergeCell ref="A215:A216"/>
    <mergeCell ref="B215:B216"/>
    <mergeCell ref="A217:A218"/>
    <mergeCell ref="B217:B218"/>
    <mergeCell ref="A209:A210"/>
    <mergeCell ref="B209:B210"/>
    <mergeCell ref="A203:A204"/>
    <mergeCell ref="B203:B204"/>
    <mergeCell ref="A205:A206"/>
    <mergeCell ref="B205:B206"/>
    <mergeCell ref="A207:A208"/>
    <mergeCell ref="B207:B208"/>
    <mergeCell ref="A219:A220"/>
    <mergeCell ref="B219:B220"/>
    <mergeCell ref="A221:A222"/>
    <mergeCell ref="B221:B222"/>
    <mergeCell ref="A223:A224"/>
    <mergeCell ref="B223:B224"/>
    <mergeCell ref="A225:A226"/>
    <mergeCell ref="B225:B226"/>
    <mergeCell ref="A235:A236"/>
    <mergeCell ref="B235:B236"/>
    <mergeCell ref="A237:A238"/>
    <mergeCell ref="B237:B238"/>
    <mergeCell ref="A239:A240"/>
    <mergeCell ref="B239:B240"/>
    <mergeCell ref="A241:A242"/>
    <mergeCell ref="B241:B242"/>
    <mergeCell ref="A233:A234"/>
    <mergeCell ref="B233:B234"/>
    <mergeCell ref="A227:A228"/>
    <mergeCell ref="B227:B228"/>
    <mergeCell ref="A229:A230"/>
    <mergeCell ref="B229:B230"/>
    <mergeCell ref="A231:A232"/>
    <mergeCell ref="B231:B232"/>
    <mergeCell ref="A243:A244"/>
    <mergeCell ref="B243:B244"/>
    <mergeCell ref="A245:A246"/>
    <mergeCell ref="B245:B246"/>
    <mergeCell ref="A247:A248"/>
    <mergeCell ref="B247:B248"/>
    <mergeCell ref="A249:A250"/>
    <mergeCell ref="B249:B250"/>
    <mergeCell ref="A259:A260"/>
    <mergeCell ref="B259:B260"/>
    <mergeCell ref="A261:A262"/>
    <mergeCell ref="B261:B262"/>
    <mergeCell ref="A263:A264"/>
    <mergeCell ref="B263:B264"/>
    <mergeCell ref="A265:A266"/>
    <mergeCell ref="B265:B266"/>
    <mergeCell ref="A257:A258"/>
    <mergeCell ref="B257:B258"/>
    <mergeCell ref="A251:A252"/>
    <mergeCell ref="B251:B252"/>
    <mergeCell ref="A253:A254"/>
    <mergeCell ref="B253:B254"/>
    <mergeCell ref="A255:A256"/>
    <mergeCell ref="B255:B256"/>
    <mergeCell ref="A267:A268"/>
    <mergeCell ref="B267:B268"/>
    <mergeCell ref="A269:A270"/>
    <mergeCell ref="B269:B270"/>
    <mergeCell ref="A271:A272"/>
    <mergeCell ref="B271:B272"/>
    <mergeCell ref="A273:A274"/>
    <mergeCell ref="B273:B274"/>
    <mergeCell ref="A283:A284"/>
    <mergeCell ref="B283:B284"/>
    <mergeCell ref="A285:A286"/>
    <mergeCell ref="B285:B286"/>
    <mergeCell ref="A287:A288"/>
    <mergeCell ref="B287:B288"/>
    <mergeCell ref="A289:A290"/>
    <mergeCell ref="B289:B290"/>
    <mergeCell ref="A281:A282"/>
    <mergeCell ref="B281:B282"/>
    <mergeCell ref="A275:A276"/>
    <mergeCell ref="B275:B276"/>
    <mergeCell ref="A277:A278"/>
    <mergeCell ref="B277:B278"/>
    <mergeCell ref="A279:A280"/>
    <mergeCell ref="B279:B280"/>
    <mergeCell ref="A291:A292"/>
    <mergeCell ref="B291:B292"/>
    <mergeCell ref="A293:A294"/>
    <mergeCell ref="B293:B294"/>
    <mergeCell ref="A295:A296"/>
    <mergeCell ref="B295:B296"/>
    <mergeCell ref="A297:A298"/>
    <mergeCell ref="B297:B298"/>
    <mergeCell ref="A307:A308"/>
    <mergeCell ref="B307:B308"/>
    <mergeCell ref="A309:A310"/>
    <mergeCell ref="B309:B310"/>
    <mergeCell ref="A311:A312"/>
    <mergeCell ref="B311:B312"/>
    <mergeCell ref="A313:A314"/>
    <mergeCell ref="B313:B314"/>
    <mergeCell ref="A305:A306"/>
    <mergeCell ref="B305:B306"/>
    <mergeCell ref="A299:A300"/>
    <mergeCell ref="B299:B300"/>
    <mergeCell ref="A301:A302"/>
    <mergeCell ref="B301:B302"/>
    <mergeCell ref="A303:A304"/>
    <mergeCell ref="B303:B304"/>
    <mergeCell ref="A315:A316"/>
    <mergeCell ref="B315:B316"/>
    <mergeCell ref="A317:A318"/>
    <mergeCell ref="B317:B318"/>
    <mergeCell ref="A331:A332"/>
    <mergeCell ref="B331:B332"/>
    <mergeCell ref="B335:B336"/>
    <mergeCell ref="A319:A320"/>
    <mergeCell ref="B319:B320"/>
    <mergeCell ref="A321:A322"/>
    <mergeCell ref="B321:B322"/>
    <mergeCell ref="A333:A334"/>
    <mergeCell ref="B333:B334"/>
    <mergeCell ref="A327:A328"/>
    <mergeCell ref="B327:B328"/>
    <mergeCell ref="A329:A330"/>
    <mergeCell ref="B329:B330"/>
    <mergeCell ref="A323:A324"/>
    <mergeCell ref="B323:B324"/>
    <mergeCell ref="A325:A326"/>
    <mergeCell ref="B325:B326"/>
    <mergeCell ref="B349:B350"/>
    <mergeCell ref="B361:B362"/>
    <mergeCell ref="A339:A340"/>
    <mergeCell ref="A335:A336"/>
    <mergeCell ref="A337:A338"/>
    <mergeCell ref="B337:B338"/>
    <mergeCell ref="B351:B352"/>
    <mergeCell ref="A361:A362"/>
    <mergeCell ref="B353:B354"/>
    <mergeCell ref="A359:A360"/>
    <mergeCell ref="B359:B360"/>
    <mergeCell ref="A347:A348"/>
    <mergeCell ref="B347:B348"/>
    <mergeCell ref="A349:A350"/>
    <mergeCell ref="A343:A344"/>
    <mergeCell ref="A345:A346"/>
    <mergeCell ref="A373:A374"/>
    <mergeCell ref="A381:A382"/>
    <mergeCell ref="A363:A364"/>
    <mergeCell ref="A365:A366"/>
    <mergeCell ref="A367:A368"/>
    <mergeCell ref="A369:A370"/>
    <mergeCell ref="A371:A372"/>
    <mergeCell ref="B341:B342"/>
    <mergeCell ref="B343:B344"/>
    <mergeCell ref="B345:B346"/>
    <mergeCell ref="A357:A358"/>
    <mergeCell ref="B357:B358"/>
    <mergeCell ref="A355:A356"/>
    <mergeCell ref="B355:B356"/>
    <mergeCell ref="A351:A352"/>
    <mergeCell ref="A353:A354"/>
    <mergeCell ref="A341:A342"/>
    <mergeCell ref="A377:A378"/>
    <mergeCell ref="B393:B394"/>
    <mergeCell ref="A379:A380"/>
    <mergeCell ref="B379:B380"/>
    <mergeCell ref="B381:B382"/>
    <mergeCell ref="A383:A384"/>
    <mergeCell ref="A385:A386"/>
    <mergeCell ref="A387:A388"/>
    <mergeCell ref="A389:A390"/>
    <mergeCell ref="B391:B392"/>
    <mergeCell ref="B397:B398"/>
    <mergeCell ref="B399:B400"/>
    <mergeCell ref="A395:A396"/>
    <mergeCell ref="B395:B396"/>
    <mergeCell ref="A399:A400"/>
    <mergeCell ref="B383:B384"/>
    <mergeCell ref="A401:A402"/>
    <mergeCell ref="B385:B386"/>
    <mergeCell ref="B387:B388"/>
    <mergeCell ref="B389:B390"/>
    <mergeCell ref="A391:A392"/>
    <mergeCell ref="A393:A394"/>
    <mergeCell ref="B401:B402"/>
    <mergeCell ref="A397:A398"/>
    <mergeCell ref="B403:B404"/>
    <mergeCell ref="B407:B408"/>
    <mergeCell ref="A417:A418"/>
    <mergeCell ref="A419:A420"/>
    <mergeCell ref="A409:A410"/>
    <mergeCell ref="A411:A412"/>
    <mergeCell ref="A413:A414"/>
    <mergeCell ref="A415:A416"/>
    <mergeCell ref="B417:B418"/>
    <mergeCell ref="B413:B414"/>
    <mergeCell ref="B409:B410"/>
    <mergeCell ref="B411:B412"/>
    <mergeCell ref="A421:A422"/>
    <mergeCell ref="B405:B406"/>
    <mergeCell ref="B415:B416"/>
    <mergeCell ref="A441:A442"/>
    <mergeCell ref="B441:B442"/>
    <mergeCell ref="A443:A444"/>
    <mergeCell ref="B443:B444"/>
    <mergeCell ref="A375:A376"/>
    <mergeCell ref="B375:B376"/>
    <mergeCell ref="B377:B378"/>
    <mergeCell ref="A433:A434"/>
    <mergeCell ref="A423:A424"/>
    <mergeCell ref="A425:A426"/>
    <mergeCell ref="B421:B422"/>
    <mergeCell ref="A403:A404"/>
    <mergeCell ref="A405:A406"/>
    <mergeCell ref="A407:A408"/>
    <mergeCell ref="A453:B453"/>
    <mergeCell ref="A9:A10"/>
    <mergeCell ref="A11:A12"/>
    <mergeCell ref="A13:A14"/>
    <mergeCell ref="B9:B10"/>
    <mergeCell ref="B11:B12"/>
    <mergeCell ref="B339:B340"/>
    <mergeCell ref="B437:B438"/>
    <mergeCell ref="A439:A440"/>
    <mergeCell ref="B439:B440"/>
    <mergeCell ref="A452:B452"/>
    <mergeCell ref="B445:B446"/>
    <mergeCell ref="A445:A446"/>
    <mergeCell ref="A447:B447"/>
    <mergeCell ref="A448:B448"/>
    <mergeCell ref="A449:B449"/>
    <mergeCell ref="A450:B450"/>
    <mergeCell ref="B423:B424"/>
    <mergeCell ref="A427:A428"/>
    <mergeCell ref="A429:A430"/>
    <mergeCell ref="A451:B451"/>
    <mergeCell ref="A431:A432"/>
    <mergeCell ref="B427:B428"/>
    <mergeCell ref="B429:B430"/>
    <mergeCell ref="B431:B432"/>
    <mergeCell ref="A435:A436"/>
    <mergeCell ref="A437:A438"/>
    <mergeCell ref="B425:B426"/>
    <mergeCell ref="B433:B434"/>
    <mergeCell ref="B435:B436"/>
    <mergeCell ref="B363:B364"/>
    <mergeCell ref="B365:B366"/>
    <mergeCell ref="B367:B368"/>
    <mergeCell ref="B369:B370"/>
    <mergeCell ref="B371:B372"/>
    <mergeCell ref="B373:B374"/>
    <mergeCell ref="B419:B420"/>
  </mergeCells>
  <conditionalFormatting sqref="D10:F10">
    <cfRule type="cellIs" priority="1120" dxfId="0" operator="equal">
      <formula>0</formula>
    </cfRule>
  </conditionalFormatting>
  <conditionalFormatting sqref="D9:F9">
    <cfRule type="cellIs" priority="1121" dxfId="0" operator="equal">
      <formula>0</formula>
    </cfRule>
  </conditionalFormatting>
  <conditionalFormatting sqref="C12">
    <cfRule type="cellIs" priority="1119" dxfId="2" operator="equal">
      <formula>0</formula>
    </cfRule>
  </conditionalFormatting>
  <conditionalFormatting sqref="D12:F12">
    <cfRule type="cellIs" priority="1118" dxfId="3" operator="equal">
      <formula>0</formula>
    </cfRule>
  </conditionalFormatting>
  <conditionalFormatting sqref="D11:F11">
    <cfRule type="cellIs" priority="1117" dxfId="3" operator="equal">
      <formula>0</formula>
    </cfRule>
  </conditionalFormatting>
  <conditionalFormatting sqref="D13:D14">
    <cfRule type="cellIs" priority="1116" dxfId="6" operator="equal">
      <formula>0</formula>
    </cfRule>
  </conditionalFormatting>
  <conditionalFormatting sqref="D13:D14">
    <cfRule type="cellIs" priority="1115" dxfId="1025" operator="notEqual">
      <formula>0</formula>
    </cfRule>
  </conditionalFormatting>
  <conditionalFormatting sqref="E13:E14">
    <cfRule type="cellIs" priority="1114" dxfId="6" operator="equal">
      <formula>0</formula>
    </cfRule>
  </conditionalFormatting>
  <conditionalFormatting sqref="E13:E14">
    <cfRule type="cellIs" priority="1113" dxfId="1025" operator="notEqual">
      <formula>0</formula>
    </cfRule>
  </conditionalFormatting>
  <conditionalFormatting sqref="F13:F14">
    <cfRule type="cellIs" priority="1112" dxfId="6" operator="equal">
      <formula>0</formula>
    </cfRule>
  </conditionalFormatting>
  <conditionalFormatting sqref="F13:F14">
    <cfRule type="cellIs" priority="1111" dxfId="1025" operator="notEqual">
      <formula>0</formula>
    </cfRule>
  </conditionalFormatting>
  <conditionalFormatting sqref="D16:F16">
    <cfRule type="cellIs" priority="1103" dxfId="0" operator="equal">
      <formula>0</formula>
    </cfRule>
  </conditionalFormatting>
  <conditionalFormatting sqref="D15:F15">
    <cfRule type="cellIs" priority="1104" dxfId="0" operator="equal">
      <formula>0</formula>
    </cfRule>
  </conditionalFormatting>
  <conditionalFormatting sqref="D18:F18">
    <cfRule type="cellIs" priority="1101" dxfId="3" operator="equal">
      <formula>0</formula>
    </cfRule>
  </conditionalFormatting>
  <conditionalFormatting sqref="D17:F17">
    <cfRule type="cellIs" priority="1100" dxfId="3" operator="equal">
      <formula>0</formula>
    </cfRule>
  </conditionalFormatting>
  <conditionalFormatting sqref="D19:F19">
    <cfRule type="cellIs" priority="1099" dxfId="87" operator="equal">
      <formula>0</formula>
    </cfRule>
  </conditionalFormatting>
  <conditionalFormatting sqref="D20:F20">
    <cfRule type="cellIs" priority="1098" dxfId="87" operator="equal">
      <formula>0</formula>
    </cfRule>
  </conditionalFormatting>
  <conditionalFormatting sqref="C18">
    <cfRule type="cellIs" priority="1027" dxfId="2" operator="equal">
      <formula>0</formula>
    </cfRule>
  </conditionalFormatting>
  <conditionalFormatting sqref="D21:D22">
    <cfRule type="cellIs" priority="1026" dxfId="6" operator="equal">
      <formula>0</formula>
    </cfRule>
  </conditionalFormatting>
  <conditionalFormatting sqref="D21:D22">
    <cfRule type="cellIs" priority="1025" dxfId="1025" operator="notEqual">
      <formula>0</formula>
    </cfRule>
  </conditionalFormatting>
  <conditionalFormatting sqref="E21:E22">
    <cfRule type="cellIs" priority="1024" dxfId="6" operator="equal">
      <formula>0</formula>
    </cfRule>
  </conditionalFormatting>
  <conditionalFormatting sqref="E21:E22">
    <cfRule type="cellIs" priority="1023" dxfId="1025" operator="notEqual">
      <formula>0</formula>
    </cfRule>
  </conditionalFormatting>
  <conditionalFormatting sqref="F21:F22">
    <cfRule type="cellIs" priority="1022" dxfId="6" operator="equal">
      <formula>0</formula>
    </cfRule>
  </conditionalFormatting>
  <conditionalFormatting sqref="F21:F22">
    <cfRule type="cellIs" priority="1021" dxfId="1025" operator="notEqual">
      <formula>0</formula>
    </cfRule>
  </conditionalFormatting>
  <conditionalFormatting sqref="D23:D24">
    <cfRule type="cellIs" priority="1020" dxfId="6" operator="equal">
      <formula>0</formula>
    </cfRule>
  </conditionalFormatting>
  <conditionalFormatting sqref="D23:D24">
    <cfRule type="cellIs" priority="1019" dxfId="1025" operator="notEqual">
      <formula>0</formula>
    </cfRule>
  </conditionalFormatting>
  <conditionalFormatting sqref="E23:E24">
    <cfRule type="cellIs" priority="1018" dxfId="6" operator="equal">
      <formula>0</formula>
    </cfRule>
  </conditionalFormatting>
  <conditionalFormatting sqref="E23:E24">
    <cfRule type="cellIs" priority="1017" dxfId="1025" operator="notEqual">
      <formula>0</formula>
    </cfRule>
  </conditionalFormatting>
  <conditionalFormatting sqref="F23:F24">
    <cfRule type="cellIs" priority="1016" dxfId="6" operator="equal">
      <formula>0</formula>
    </cfRule>
  </conditionalFormatting>
  <conditionalFormatting sqref="F23:F24">
    <cfRule type="cellIs" priority="1015" dxfId="1025" operator="notEqual">
      <formula>0</formula>
    </cfRule>
  </conditionalFormatting>
  <conditionalFormatting sqref="D25:D26">
    <cfRule type="cellIs" priority="1014" dxfId="6" operator="equal">
      <formula>0</formula>
    </cfRule>
  </conditionalFormatting>
  <conditionalFormatting sqref="D25:D26">
    <cfRule type="cellIs" priority="1013" dxfId="1025" operator="notEqual">
      <formula>0</formula>
    </cfRule>
  </conditionalFormatting>
  <conditionalFormatting sqref="E25:E26">
    <cfRule type="cellIs" priority="1012" dxfId="6" operator="equal">
      <formula>0</formula>
    </cfRule>
  </conditionalFormatting>
  <conditionalFormatting sqref="E25:E26">
    <cfRule type="cellIs" priority="1011" dxfId="1025" operator="notEqual">
      <formula>0</formula>
    </cfRule>
  </conditionalFormatting>
  <conditionalFormatting sqref="F25:F26">
    <cfRule type="cellIs" priority="1010" dxfId="6" operator="equal">
      <formula>0</formula>
    </cfRule>
  </conditionalFormatting>
  <conditionalFormatting sqref="F25:F26">
    <cfRule type="cellIs" priority="1009" dxfId="1025" operator="notEqual">
      <formula>0</formula>
    </cfRule>
  </conditionalFormatting>
  <conditionalFormatting sqref="D27:D28">
    <cfRule type="cellIs" priority="1008" dxfId="6" operator="equal">
      <formula>0</formula>
    </cfRule>
  </conditionalFormatting>
  <conditionalFormatting sqref="D27:D28">
    <cfRule type="cellIs" priority="1007" dxfId="1025" operator="notEqual">
      <formula>0</formula>
    </cfRule>
  </conditionalFormatting>
  <conditionalFormatting sqref="E27:E28">
    <cfRule type="cellIs" priority="1006" dxfId="6" operator="equal">
      <formula>0</formula>
    </cfRule>
  </conditionalFormatting>
  <conditionalFormatting sqref="E27:E28">
    <cfRule type="cellIs" priority="1005" dxfId="1025" operator="notEqual">
      <formula>0</formula>
    </cfRule>
  </conditionalFormatting>
  <conditionalFormatting sqref="F27:F28">
    <cfRule type="cellIs" priority="1004" dxfId="6" operator="equal">
      <formula>0</formula>
    </cfRule>
  </conditionalFormatting>
  <conditionalFormatting sqref="F27:F28">
    <cfRule type="cellIs" priority="1003" dxfId="1025" operator="notEqual">
      <formula>0</formula>
    </cfRule>
  </conditionalFormatting>
  <conditionalFormatting sqref="D30:F30">
    <cfRule type="cellIs" priority="1002" dxfId="3" operator="equal">
      <formula>0</formula>
    </cfRule>
  </conditionalFormatting>
  <conditionalFormatting sqref="D29:F29">
    <cfRule type="cellIs" priority="1001" dxfId="3" operator="equal">
      <formula>0</formula>
    </cfRule>
  </conditionalFormatting>
  <conditionalFormatting sqref="D31:F31">
    <cfRule type="cellIs" priority="1000" dxfId="87" operator="equal">
      <formula>0</formula>
    </cfRule>
  </conditionalFormatting>
  <conditionalFormatting sqref="D32:F32">
    <cfRule type="cellIs" priority="999" dxfId="87" operator="equal">
      <formula>0</formula>
    </cfRule>
  </conditionalFormatting>
  <conditionalFormatting sqref="C30">
    <cfRule type="cellIs" priority="998" dxfId="2" operator="equal">
      <formula>0</formula>
    </cfRule>
  </conditionalFormatting>
  <conditionalFormatting sqref="D33:D34">
    <cfRule type="cellIs" priority="997" dxfId="6" operator="equal">
      <formula>0</formula>
    </cfRule>
  </conditionalFormatting>
  <conditionalFormatting sqref="D33:D34">
    <cfRule type="cellIs" priority="996" dxfId="1025" operator="notEqual">
      <formula>0</formula>
    </cfRule>
  </conditionalFormatting>
  <conditionalFormatting sqref="E33:E34">
    <cfRule type="cellIs" priority="995" dxfId="6" operator="equal">
      <formula>0</formula>
    </cfRule>
  </conditionalFormatting>
  <conditionalFormatting sqref="E33:E34">
    <cfRule type="cellIs" priority="994" dxfId="1025" operator="notEqual">
      <formula>0</formula>
    </cfRule>
  </conditionalFormatting>
  <conditionalFormatting sqref="F33:F34">
    <cfRule type="cellIs" priority="993" dxfId="6" operator="equal">
      <formula>0</formula>
    </cfRule>
  </conditionalFormatting>
  <conditionalFormatting sqref="F33:F34">
    <cfRule type="cellIs" priority="992" dxfId="1025" operator="notEqual">
      <formula>0</formula>
    </cfRule>
  </conditionalFormatting>
  <conditionalFormatting sqref="D35:D36">
    <cfRule type="cellIs" priority="991" dxfId="6" operator="equal">
      <formula>0</formula>
    </cfRule>
  </conditionalFormatting>
  <conditionalFormatting sqref="D35:D36">
    <cfRule type="cellIs" priority="990" dxfId="1025" operator="notEqual">
      <formula>0</formula>
    </cfRule>
  </conditionalFormatting>
  <conditionalFormatting sqref="E35:E36">
    <cfRule type="cellIs" priority="989" dxfId="6" operator="equal">
      <formula>0</formula>
    </cfRule>
  </conditionalFormatting>
  <conditionalFormatting sqref="E35:E36">
    <cfRule type="cellIs" priority="988" dxfId="1025" operator="notEqual">
      <formula>0</formula>
    </cfRule>
  </conditionalFormatting>
  <conditionalFormatting sqref="F35:F36">
    <cfRule type="cellIs" priority="987" dxfId="6" operator="equal">
      <formula>0</formula>
    </cfRule>
  </conditionalFormatting>
  <conditionalFormatting sqref="F35:F36">
    <cfRule type="cellIs" priority="986" dxfId="1025" operator="notEqual">
      <formula>0</formula>
    </cfRule>
  </conditionalFormatting>
  <conditionalFormatting sqref="D37:D38">
    <cfRule type="cellIs" priority="985" dxfId="6" operator="equal">
      <formula>0</formula>
    </cfRule>
  </conditionalFormatting>
  <conditionalFormatting sqref="D37:D38">
    <cfRule type="cellIs" priority="984" dxfId="1025" operator="notEqual">
      <formula>0</formula>
    </cfRule>
  </conditionalFormatting>
  <conditionalFormatting sqref="E37:E38">
    <cfRule type="cellIs" priority="983" dxfId="6" operator="equal">
      <formula>0</formula>
    </cfRule>
  </conditionalFormatting>
  <conditionalFormatting sqref="E37:E38">
    <cfRule type="cellIs" priority="982" dxfId="1025" operator="notEqual">
      <formula>0</formula>
    </cfRule>
  </conditionalFormatting>
  <conditionalFormatting sqref="F37:F38">
    <cfRule type="cellIs" priority="981" dxfId="6" operator="equal">
      <formula>0</formula>
    </cfRule>
  </conditionalFormatting>
  <conditionalFormatting sqref="F37:F38">
    <cfRule type="cellIs" priority="980" dxfId="1025" operator="notEqual">
      <formula>0</formula>
    </cfRule>
  </conditionalFormatting>
  <conditionalFormatting sqref="D39:D40">
    <cfRule type="cellIs" priority="979" dxfId="6" operator="equal">
      <formula>0</formula>
    </cfRule>
  </conditionalFormatting>
  <conditionalFormatting sqref="D39:D40">
    <cfRule type="cellIs" priority="978" dxfId="1025" operator="notEqual">
      <formula>0</formula>
    </cfRule>
  </conditionalFormatting>
  <conditionalFormatting sqref="E39:E40">
    <cfRule type="cellIs" priority="977" dxfId="6" operator="equal">
      <formula>0</formula>
    </cfRule>
  </conditionalFormatting>
  <conditionalFormatting sqref="E39:E40">
    <cfRule type="cellIs" priority="976" dxfId="1025" operator="notEqual">
      <formula>0</formula>
    </cfRule>
  </conditionalFormatting>
  <conditionalFormatting sqref="F39:F40">
    <cfRule type="cellIs" priority="975" dxfId="6" operator="equal">
      <formula>0</formula>
    </cfRule>
  </conditionalFormatting>
  <conditionalFormatting sqref="F39:F40">
    <cfRule type="cellIs" priority="974" dxfId="1025" operator="notEqual">
      <formula>0</formula>
    </cfRule>
  </conditionalFormatting>
  <conditionalFormatting sqref="D41:D42">
    <cfRule type="cellIs" priority="973" dxfId="6" operator="equal">
      <formula>0</formula>
    </cfRule>
  </conditionalFormatting>
  <conditionalFormatting sqref="D41:D42">
    <cfRule type="cellIs" priority="972" dxfId="1025" operator="notEqual">
      <formula>0</formula>
    </cfRule>
  </conditionalFormatting>
  <conditionalFormatting sqref="E41:E42">
    <cfRule type="cellIs" priority="971" dxfId="6" operator="equal">
      <formula>0</formula>
    </cfRule>
  </conditionalFormatting>
  <conditionalFormatting sqref="E41:E42">
    <cfRule type="cellIs" priority="970" dxfId="1025" operator="notEqual">
      <formula>0</formula>
    </cfRule>
  </conditionalFormatting>
  <conditionalFormatting sqref="F41:F42">
    <cfRule type="cellIs" priority="969" dxfId="6" operator="equal">
      <formula>0</formula>
    </cfRule>
  </conditionalFormatting>
  <conditionalFormatting sqref="F41:F42">
    <cfRule type="cellIs" priority="968" dxfId="1025" operator="notEqual">
      <formula>0</formula>
    </cfRule>
  </conditionalFormatting>
  <conditionalFormatting sqref="D45:D46">
    <cfRule type="cellIs" priority="964" dxfId="6" operator="equal">
      <formula>0</formula>
    </cfRule>
  </conditionalFormatting>
  <conditionalFormatting sqref="D45:D46">
    <cfRule type="cellIs" priority="963" dxfId="1025" operator="notEqual">
      <formula>0</formula>
    </cfRule>
  </conditionalFormatting>
  <conditionalFormatting sqref="E45:E46">
    <cfRule type="cellIs" priority="962" dxfId="6" operator="equal">
      <formula>0</formula>
    </cfRule>
  </conditionalFormatting>
  <conditionalFormatting sqref="E45:E46">
    <cfRule type="cellIs" priority="961" dxfId="1025" operator="notEqual">
      <formula>0</formula>
    </cfRule>
  </conditionalFormatting>
  <conditionalFormatting sqref="F45:F46">
    <cfRule type="cellIs" priority="960" dxfId="6" operator="equal">
      <formula>0</formula>
    </cfRule>
  </conditionalFormatting>
  <conditionalFormatting sqref="F45:F46">
    <cfRule type="cellIs" priority="959" dxfId="1025" operator="notEqual">
      <formula>0</formula>
    </cfRule>
  </conditionalFormatting>
  <conditionalFormatting sqref="D47:D48">
    <cfRule type="cellIs" priority="958" dxfId="6" operator="equal">
      <formula>0</formula>
    </cfRule>
  </conditionalFormatting>
  <conditionalFormatting sqref="D47:D48">
    <cfRule type="cellIs" priority="957" dxfId="1025" operator="notEqual">
      <formula>0</formula>
    </cfRule>
  </conditionalFormatting>
  <conditionalFormatting sqref="E47:E48">
    <cfRule type="cellIs" priority="956" dxfId="6" operator="equal">
      <formula>0</formula>
    </cfRule>
  </conditionalFormatting>
  <conditionalFormatting sqref="E47:E48">
    <cfRule type="cellIs" priority="955" dxfId="1025" operator="notEqual">
      <formula>0</formula>
    </cfRule>
  </conditionalFormatting>
  <conditionalFormatting sqref="F47:F48">
    <cfRule type="cellIs" priority="954" dxfId="6" operator="equal">
      <formula>0</formula>
    </cfRule>
  </conditionalFormatting>
  <conditionalFormatting sqref="F47:F48">
    <cfRule type="cellIs" priority="953" dxfId="1025" operator="notEqual">
      <formula>0</formula>
    </cfRule>
  </conditionalFormatting>
  <conditionalFormatting sqref="D49:D50">
    <cfRule type="cellIs" priority="952" dxfId="6" operator="equal">
      <formula>0</formula>
    </cfRule>
  </conditionalFormatting>
  <conditionalFormatting sqref="D49:D50">
    <cfRule type="cellIs" priority="951" dxfId="1025" operator="notEqual">
      <formula>0</formula>
    </cfRule>
  </conditionalFormatting>
  <conditionalFormatting sqref="E49:E50">
    <cfRule type="cellIs" priority="950" dxfId="6" operator="equal">
      <formula>0</formula>
    </cfRule>
  </conditionalFormatting>
  <conditionalFormatting sqref="E49:E50">
    <cfRule type="cellIs" priority="949" dxfId="1025" operator="notEqual">
      <formula>0</formula>
    </cfRule>
  </conditionalFormatting>
  <conditionalFormatting sqref="F49:F50">
    <cfRule type="cellIs" priority="948" dxfId="6" operator="equal">
      <formula>0</formula>
    </cfRule>
  </conditionalFormatting>
  <conditionalFormatting sqref="F49:F50">
    <cfRule type="cellIs" priority="947" dxfId="1025" operator="notEqual">
      <formula>0</formula>
    </cfRule>
  </conditionalFormatting>
  <conditionalFormatting sqref="D51:D52">
    <cfRule type="cellIs" priority="946" dxfId="6" operator="equal">
      <formula>0</formula>
    </cfRule>
  </conditionalFormatting>
  <conditionalFormatting sqref="D51:D52">
    <cfRule type="cellIs" priority="945" dxfId="1025" operator="notEqual">
      <formula>0</formula>
    </cfRule>
  </conditionalFormatting>
  <conditionalFormatting sqref="E51:E52">
    <cfRule type="cellIs" priority="944" dxfId="6" operator="equal">
      <formula>0</formula>
    </cfRule>
  </conditionalFormatting>
  <conditionalFormatting sqref="E51:E52">
    <cfRule type="cellIs" priority="943" dxfId="1025" operator="notEqual">
      <formula>0</formula>
    </cfRule>
  </conditionalFormatting>
  <conditionalFormatting sqref="F51:F52">
    <cfRule type="cellIs" priority="942" dxfId="6" operator="equal">
      <formula>0</formula>
    </cfRule>
  </conditionalFormatting>
  <conditionalFormatting sqref="F51:F52">
    <cfRule type="cellIs" priority="941" dxfId="1025" operator="notEqual">
      <formula>0</formula>
    </cfRule>
  </conditionalFormatting>
  <conditionalFormatting sqref="D53:D54">
    <cfRule type="cellIs" priority="940" dxfId="6" operator="equal">
      <formula>0</formula>
    </cfRule>
  </conditionalFormatting>
  <conditionalFormatting sqref="D53:D54">
    <cfRule type="cellIs" priority="939" dxfId="1025" operator="notEqual">
      <formula>0</formula>
    </cfRule>
  </conditionalFormatting>
  <conditionalFormatting sqref="E53:E54">
    <cfRule type="cellIs" priority="938" dxfId="6" operator="equal">
      <formula>0</formula>
    </cfRule>
  </conditionalFormatting>
  <conditionalFormatting sqref="E53:E54">
    <cfRule type="cellIs" priority="937" dxfId="1025" operator="notEqual">
      <formula>0</formula>
    </cfRule>
  </conditionalFormatting>
  <conditionalFormatting sqref="F53:F54">
    <cfRule type="cellIs" priority="936" dxfId="6" operator="equal">
      <formula>0</formula>
    </cfRule>
  </conditionalFormatting>
  <conditionalFormatting sqref="F53:F54">
    <cfRule type="cellIs" priority="935" dxfId="1025" operator="notEqual">
      <formula>0</formula>
    </cfRule>
  </conditionalFormatting>
  <conditionalFormatting sqref="D55:D56">
    <cfRule type="cellIs" priority="934" dxfId="6" operator="equal">
      <formula>0</formula>
    </cfRule>
  </conditionalFormatting>
  <conditionalFormatting sqref="D55:D56">
    <cfRule type="cellIs" priority="933" dxfId="1025" operator="notEqual">
      <formula>0</formula>
    </cfRule>
  </conditionalFormatting>
  <conditionalFormatting sqref="E55:E56">
    <cfRule type="cellIs" priority="932" dxfId="6" operator="equal">
      <formula>0</formula>
    </cfRule>
  </conditionalFormatting>
  <conditionalFormatting sqref="E55:E56">
    <cfRule type="cellIs" priority="931" dxfId="1025" operator="notEqual">
      <formula>0</formula>
    </cfRule>
  </conditionalFormatting>
  <conditionalFormatting sqref="F55:F56">
    <cfRule type="cellIs" priority="930" dxfId="6" operator="equal">
      <formula>0</formula>
    </cfRule>
  </conditionalFormatting>
  <conditionalFormatting sqref="F55:F56">
    <cfRule type="cellIs" priority="929" dxfId="1025" operator="notEqual">
      <formula>0</formula>
    </cfRule>
  </conditionalFormatting>
  <conditionalFormatting sqref="D57:D58">
    <cfRule type="cellIs" priority="928" dxfId="6" operator="equal">
      <formula>0</formula>
    </cfRule>
  </conditionalFormatting>
  <conditionalFormatting sqref="D57:D58">
    <cfRule type="cellIs" priority="927" dxfId="1025" operator="notEqual">
      <formula>0</formula>
    </cfRule>
  </conditionalFormatting>
  <conditionalFormatting sqref="E57:E58">
    <cfRule type="cellIs" priority="926" dxfId="6" operator="equal">
      <formula>0</formula>
    </cfRule>
  </conditionalFormatting>
  <conditionalFormatting sqref="E57:E58">
    <cfRule type="cellIs" priority="925" dxfId="1025" operator="notEqual">
      <formula>0</formula>
    </cfRule>
  </conditionalFormatting>
  <conditionalFormatting sqref="F57:F58">
    <cfRule type="cellIs" priority="924" dxfId="6" operator="equal">
      <formula>0</formula>
    </cfRule>
  </conditionalFormatting>
  <conditionalFormatting sqref="F57:F58">
    <cfRule type="cellIs" priority="923" dxfId="1025" operator="notEqual">
      <formula>0</formula>
    </cfRule>
  </conditionalFormatting>
  <conditionalFormatting sqref="D59:D60">
    <cfRule type="cellIs" priority="922" dxfId="6" operator="equal">
      <formula>0</formula>
    </cfRule>
  </conditionalFormatting>
  <conditionalFormatting sqref="D59:D60">
    <cfRule type="cellIs" priority="921" dxfId="1025" operator="notEqual">
      <formula>0</formula>
    </cfRule>
  </conditionalFormatting>
  <conditionalFormatting sqref="E59:E60">
    <cfRule type="cellIs" priority="920" dxfId="6" operator="equal">
      <formula>0</formula>
    </cfRule>
  </conditionalFormatting>
  <conditionalFormatting sqref="E59:E60">
    <cfRule type="cellIs" priority="919" dxfId="1025" operator="notEqual">
      <formula>0</formula>
    </cfRule>
  </conditionalFormatting>
  <conditionalFormatting sqref="F59:F60">
    <cfRule type="cellIs" priority="918" dxfId="6" operator="equal">
      <formula>0</formula>
    </cfRule>
  </conditionalFormatting>
  <conditionalFormatting sqref="F59:F60">
    <cfRule type="cellIs" priority="917" dxfId="1025" operator="notEqual">
      <formula>0</formula>
    </cfRule>
  </conditionalFormatting>
  <conditionalFormatting sqref="D61:D62">
    <cfRule type="cellIs" priority="916" dxfId="6" operator="equal">
      <formula>0</formula>
    </cfRule>
  </conditionalFormatting>
  <conditionalFormatting sqref="D61:D62">
    <cfRule type="cellIs" priority="915" dxfId="1025" operator="notEqual">
      <formula>0</formula>
    </cfRule>
  </conditionalFormatting>
  <conditionalFormatting sqref="E61:E62">
    <cfRule type="cellIs" priority="914" dxfId="6" operator="equal">
      <formula>0</formula>
    </cfRule>
  </conditionalFormatting>
  <conditionalFormatting sqref="E61:E62">
    <cfRule type="cellIs" priority="913" dxfId="1025" operator="notEqual">
      <formula>0</formula>
    </cfRule>
  </conditionalFormatting>
  <conditionalFormatting sqref="F61:F62">
    <cfRule type="cellIs" priority="912" dxfId="6" operator="equal">
      <formula>0</formula>
    </cfRule>
  </conditionalFormatting>
  <conditionalFormatting sqref="F61:F62">
    <cfRule type="cellIs" priority="911" dxfId="1025" operator="notEqual">
      <formula>0</formula>
    </cfRule>
  </conditionalFormatting>
  <conditionalFormatting sqref="D63:D64">
    <cfRule type="cellIs" priority="910" dxfId="6" operator="equal">
      <formula>0</formula>
    </cfRule>
  </conditionalFormatting>
  <conditionalFormatting sqref="D63:D64">
    <cfRule type="cellIs" priority="909" dxfId="1025" operator="notEqual">
      <formula>0</formula>
    </cfRule>
  </conditionalFormatting>
  <conditionalFormatting sqref="E63:E64">
    <cfRule type="cellIs" priority="908" dxfId="6" operator="equal">
      <formula>0</formula>
    </cfRule>
  </conditionalFormatting>
  <conditionalFormatting sqref="E63:E64">
    <cfRule type="cellIs" priority="907" dxfId="1025" operator="notEqual">
      <formula>0</formula>
    </cfRule>
  </conditionalFormatting>
  <conditionalFormatting sqref="F63:F64">
    <cfRule type="cellIs" priority="906" dxfId="6" operator="equal">
      <formula>0</formula>
    </cfRule>
  </conditionalFormatting>
  <conditionalFormatting sqref="F63:F64">
    <cfRule type="cellIs" priority="905" dxfId="1025" operator="notEqual">
      <formula>0</formula>
    </cfRule>
  </conditionalFormatting>
  <conditionalFormatting sqref="D65:D66">
    <cfRule type="cellIs" priority="904" dxfId="6" operator="equal">
      <formula>0</formula>
    </cfRule>
  </conditionalFormatting>
  <conditionalFormatting sqref="D65:D66">
    <cfRule type="cellIs" priority="903" dxfId="1025" operator="notEqual">
      <formula>0</formula>
    </cfRule>
  </conditionalFormatting>
  <conditionalFormatting sqref="E65:E66">
    <cfRule type="cellIs" priority="902" dxfId="6" operator="equal">
      <formula>0</formula>
    </cfRule>
  </conditionalFormatting>
  <conditionalFormatting sqref="E65:E66">
    <cfRule type="cellIs" priority="901" dxfId="1025" operator="notEqual">
      <formula>0</formula>
    </cfRule>
  </conditionalFormatting>
  <conditionalFormatting sqref="F65:F66">
    <cfRule type="cellIs" priority="900" dxfId="6" operator="equal">
      <formula>0</formula>
    </cfRule>
  </conditionalFormatting>
  <conditionalFormatting sqref="F65:F66">
    <cfRule type="cellIs" priority="899" dxfId="1025" operator="notEqual">
      <formula>0</formula>
    </cfRule>
  </conditionalFormatting>
  <conditionalFormatting sqref="D67:D68">
    <cfRule type="cellIs" priority="898" dxfId="6" operator="equal">
      <formula>0</formula>
    </cfRule>
  </conditionalFormatting>
  <conditionalFormatting sqref="D67:D68">
    <cfRule type="cellIs" priority="897" dxfId="1025" operator="notEqual">
      <formula>0</formula>
    </cfRule>
  </conditionalFormatting>
  <conditionalFormatting sqref="E67:E68">
    <cfRule type="cellIs" priority="896" dxfId="6" operator="equal">
      <formula>0</formula>
    </cfRule>
  </conditionalFormatting>
  <conditionalFormatting sqref="E67:E68">
    <cfRule type="cellIs" priority="895" dxfId="1025" operator="notEqual">
      <formula>0</formula>
    </cfRule>
  </conditionalFormatting>
  <conditionalFormatting sqref="F67:F68">
    <cfRule type="cellIs" priority="894" dxfId="6" operator="equal">
      <formula>0</formula>
    </cfRule>
  </conditionalFormatting>
  <conditionalFormatting sqref="F67:F68">
    <cfRule type="cellIs" priority="893" dxfId="1025" operator="notEqual">
      <formula>0</formula>
    </cfRule>
  </conditionalFormatting>
  <conditionalFormatting sqref="D43:F43">
    <cfRule type="cellIs" priority="892" dxfId="87" operator="equal">
      <formula>0</formula>
    </cfRule>
  </conditionalFormatting>
  <conditionalFormatting sqref="D44:F44">
    <cfRule type="cellIs" priority="891" dxfId="87" operator="equal">
      <formula>0</formula>
    </cfRule>
  </conditionalFormatting>
  <conditionalFormatting sqref="D73:F73">
    <cfRule type="cellIs" priority="890" dxfId="87" operator="equal">
      <formula>0</formula>
    </cfRule>
  </conditionalFormatting>
  <conditionalFormatting sqref="D74:F74">
    <cfRule type="cellIs" priority="889" dxfId="87" operator="equal">
      <formula>0</formula>
    </cfRule>
  </conditionalFormatting>
  <conditionalFormatting sqref="D72:F72">
    <cfRule type="cellIs" priority="888" dxfId="3" operator="equal">
      <formula>0</formula>
    </cfRule>
  </conditionalFormatting>
  <conditionalFormatting sqref="D71:F71">
    <cfRule type="cellIs" priority="887" dxfId="3" operator="equal">
      <formula>0</formula>
    </cfRule>
  </conditionalFormatting>
  <conditionalFormatting sqref="C72">
    <cfRule type="cellIs" priority="886" dxfId="2" operator="equal">
      <formula>0</formula>
    </cfRule>
  </conditionalFormatting>
  <conditionalFormatting sqref="D70:F70">
    <cfRule type="cellIs" priority="884" dxfId="0" operator="equal">
      <formula>0</formula>
    </cfRule>
  </conditionalFormatting>
  <conditionalFormatting sqref="D69:F69">
    <cfRule type="cellIs" priority="885" dxfId="0" operator="equal">
      <formula>0</formula>
    </cfRule>
  </conditionalFormatting>
  <conditionalFormatting sqref="D75:D76">
    <cfRule type="cellIs" priority="883" dxfId="6" operator="equal">
      <formula>0</formula>
    </cfRule>
  </conditionalFormatting>
  <conditionalFormatting sqref="D75:D76">
    <cfRule type="cellIs" priority="882" dxfId="1025" operator="notEqual">
      <formula>0</formula>
    </cfRule>
  </conditionalFormatting>
  <conditionalFormatting sqref="E75:E76">
    <cfRule type="cellIs" priority="881" dxfId="6" operator="equal">
      <formula>0</formula>
    </cfRule>
  </conditionalFormatting>
  <conditionalFormatting sqref="E75:E76">
    <cfRule type="cellIs" priority="880" dxfId="1025" operator="notEqual">
      <formula>0</formula>
    </cfRule>
  </conditionalFormatting>
  <conditionalFormatting sqref="F75:F76">
    <cfRule type="cellIs" priority="879" dxfId="6" operator="equal">
      <formula>0</formula>
    </cfRule>
  </conditionalFormatting>
  <conditionalFormatting sqref="F75:F76">
    <cfRule type="cellIs" priority="878" dxfId="1025" operator="notEqual">
      <formula>0</formula>
    </cfRule>
  </conditionalFormatting>
  <conditionalFormatting sqref="D77:D78">
    <cfRule type="cellIs" priority="877" dxfId="6" operator="equal">
      <formula>0</formula>
    </cfRule>
  </conditionalFormatting>
  <conditionalFormatting sqref="D77:D78">
    <cfRule type="cellIs" priority="876" dxfId="1025" operator="notEqual">
      <formula>0</formula>
    </cfRule>
  </conditionalFormatting>
  <conditionalFormatting sqref="E77:E78">
    <cfRule type="cellIs" priority="875" dxfId="6" operator="equal">
      <formula>0</formula>
    </cfRule>
  </conditionalFormatting>
  <conditionalFormatting sqref="E77:E78">
    <cfRule type="cellIs" priority="874" dxfId="1025" operator="notEqual">
      <formula>0</formula>
    </cfRule>
  </conditionalFormatting>
  <conditionalFormatting sqref="F77:F78">
    <cfRule type="cellIs" priority="873" dxfId="6" operator="equal">
      <formula>0</formula>
    </cfRule>
  </conditionalFormatting>
  <conditionalFormatting sqref="F77:F78">
    <cfRule type="cellIs" priority="872" dxfId="1025" operator="notEqual">
      <formula>0</formula>
    </cfRule>
  </conditionalFormatting>
  <conditionalFormatting sqref="D79:D80">
    <cfRule type="cellIs" priority="871" dxfId="6" operator="equal">
      <formula>0</formula>
    </cfRule>
  </conditionalFormatting>
  <conditionalFormatting sqref="D79:D80">
    <cfRule type="cellIs" priority="870" dxfId="1025" operator="notEqual">
      <formula>0</formula>
    </cfRule>
  </conditionalFormatting>
  <conditionalFormatting sqref="E79:E80">
    <cfRule type="cellIs" priority="869" dxfId="6" operator="equal">
      <formula>0</formula>
    </cfRule>
  </conditionalFormatting>
  <conditionalFormatting sqref="E79:E80">
    <cfRule type="cellIs" priority="868" dxfId="1025" operator="notEqual">
      <formula>0</formula>
    </cfRule>
  </conditionalFormatting>
  <conditionalFormatting sqref="F79:F80">
    <cfRule type="cellIs" priority="867" dxfId="6" operator="equal">
      <formula>0</formula>
    </cfRule>
  </conditionalFormatting>
  <conditionalFormatting sqref="F79:F80">
    <cfRule type="cellIs" priority="866" dxfId="1025" operator="notEqual">
      <formula>0</formula>
    </cfRule>
  </conditionalFormatting>
  <conditionalFormatting sqref="D81:D82">
    <cfRule type="cellIs" priority="865" dxfId="6" operator="equal">
      <formula>0</formula>
    </cfRule>
  </conditionalFormatting>
  <conditionalFormatting sqref="D81:D82">
    <cfRule type="cellIs" priority="864" dxfId="1025" operator="notEqual">
      <formula>0</formula>
    </cfRule>
  </conditionalFormatting>
  <conditionalFormatting sqref="E81:E82">
    <cfRule type="cellIs" priority="863" dxfId="6" operator="equal">
      <formula>0</formula>
    </cfRule>
  </conditionalFormatting>
  <conditionalFormatting sqref="E81:E82">
    <cfRule type="cellIs" priority="862" dxfId="1025" operator="notEqual">
      <formula>0</formula>
    </cfRule>
  </conditionalFormatting>
  <conditionalFormatting sqref="F81:F82">
    <cfRule type="cellIs" priority="861" dxfId="6" operator="equal">
      <formula>0</formula>
    </cfRule>
  </conditionalFormatting>
  <conditionalFormatting sqref="F81:F82">
    <cfRule type="cellIs" priority="860" dxfId="1025" operator="notEqual">
      <formula>0</formula>
    </cfRule>
  </conditionalFormatting>
  <conditionalFormatting sqref="D83:F83">
    <cfRule type="cellIs" priority="857" dxfId="87" operator="equal">
      <formula>0</formula>
    </cfRule>
  </conditionalFormatting>
  <conditionalFormatting sqref="D84:F84">
    <cfRule type="cellIs" priority="856" dxfId="87" operator="equal">
      <formula>0</formula>
    </cfRule>
  </conditionalFormatting>
  <conditionalFormatting sqref="D85:D92">
    <cfRule type="cellIs" priority="855" dxfId="6" operator="equal">
      <formula>0</formula>
    </cfRule>
  </conditionalFormatting>
  <conditionalFormatting sqref="D85:D92">
    <cfRule type="cellIs" priority="854" dxfId="1025" operator="notEqual">
      <formula>0</formula>
    </cfRule>
  </conditionalFormatting>
  <conditionalFormatting sqref="E85:E92">
    <cfRule type="cellIs" priority="853" dxfId="6" operator="equal">
      <formula>0</formula>
    </cfRule>
  </conditionalFormatting>
  <conditionalFormatting sqref="E85:E92">
    <cfRule type="cellIs" priority="852" dxfId="1025" operator="notEqual">
      <formula>0</formula>
    </cfRule>
  </conditionalFormatting>
  <conditionalFormatting sqref="F85:F92">
    <cfRule type="cellIs" priority="851" dxfId="6" operator="equal">
      <formula>0</formula>
    </cfRule>
  </conditionalFormatting>
  <conditionalFormatting sqref="F85:F92">
    <cfRule type="cellIs" priority="850" dxfId="1025" operator="notEqual">
      <formula>0</formula>
    </cfRule>
  </conditionalFormatting>
  <conditionalFormatting sqref="D93:F93">
    <cfRule type="cellIs" priority="849" dxfId="87" operator="equal">
      <formula>0</formula>
    </cfRule>
  </conditionalFormatting>
  <conditionalFormatting sqref="D94:F94">
    <cfRule type="cellIs" priority="848" dxfId="87" operator="equal">
      <formula>0</formula>
    </cfRule>
  </conditionalFormatting>
  <conditionalFormatting sqref="D95:D96">
    <cfRule type="cellIs" priority="847" dxfId="6" operator="equal">
      <formula>0</formula>
    </cfRule>
  </conditionalFormatting>
  <conditionalFormatting sqref="D95:D96">
    <cfRule type="cellIs" priority="846" dxfId="1025" operator="notEqual">
      <formula>0</formula>
    </cfRule>
  </conditionalFormatting>
  <conditionalFormatting sqref="E95:E96">
    <cfRule type="cellIs" priority="845" dxfId="6" operator="equal">
      <formula>0</formula>
    </cfRule>
  </conditionalFormatting>
  <conditionalFormatting sqref="E95:E96">
    <cfRule type="cellIs" priority="844" dxfId="1025" operator="notEqual">
      <formula>0</formula>
    </cfRule>
  </conditionalFormatting>
  <conditionalFormatting sqref="F95:F96">
    <cfRule type="cellIs" priority="843" dxfId="6" operator="equal">
      <formula>0</formula>
    </cfRule>
  </conditionalFormatting>
  <conditionalFormatting sqref="F95:F96">
    <cfRule type="cellIs" priority="842" dxfId="1025" operator="notEqual">
      <formula>0</formula>
    </cfRule>
  </conditionalFormatting>
  <conditionalFormatting sqref="D97:D98">
    <cfRule type="cellIs" priority="841" dxfId="6" operator="equal">
      <formula>0</formula>
    </cfRule>
  </conditionalFormatting>
  <conditionalFormatting sqref="D97:D98">
    <cfRule type="cellIs" priority="840" dxfId="1025" operator="notEqual">
      <formula>0</formula>
    </cfRule>
  </conditionalFormatting>
  <conditionalFormatting sqref="E97:E98">
    <cfRule type="cellIs" priority="839" dxfId="6" operator="equal">
      <formula>0</formula>
    </cfRule>
  </conditionalFormatting>
  <conditionalFormatting sqref="E97:E98">
    <cfRule type="cellIs" priority="838" dxfId="1025" operator="notEqual">
      <formula>0</formula>
    </cfRule>
  </conditionalFormatting>
  <conditionalFormatting sqref="F97:F98">
    <cfRule type="cellIs" priority="837" dxfId="6" operator="equal">
      <formula>0</formula>
    </cfRule>
  </conditionalFormatting>
  <conditionalFormatting sqref="F97:F98">
    <cfRule type="cellIs" priority="836" dxfId="1025" operator="notEqual">
      <formula>0</formula>
    </cfRule>
  </conditionalFormatting>
  <conditionalFormatting sqref="D99:D100">
    <cfRule type="cellIs" priority="835" dxfId="6" operator="equal">
      <formula>0</formula>
    </cfRule>
  </conditionalFormatting>
  <conditionalFormatting sqref="D99:D100">
    <cfRule type="cellIs" priority="834" dxfId="1025" operator="notEqual">
      <formula>0</formula>
    </cfRule>
  </conditionalFormatting>
  <conditionalFormatting sqref="E99:E100">
    <cfRule type="cellIs" priority="833" dxfId="6" operator="equal">
      <formula>0</formula>
    </cfRule>
  </conditionalFormatting>
  <conditionalFormatting sqref="E99:E100">
    <cfRule type="cellIs" priority="832" dxfId="1025" operator="notEqual">
      <formula>0</formula>
    </cfRule>
  </conditionalFormatting>
  <conditionalFormatting sqref="F99:F100">
    <cfRule type="cellIs" priority="831" dxfId="6" operator="equal">
      <formula>0</formula>
    </cfRule>
  </conditionalFormatting>
  <conditionalFormatting sqref="F99:F100">
    <cfRule type="cellIs" priority="830" dxfId="1025" operator="notEqual">
      <formula>0</formula>
    </cfRule>
  </conditionalFormatting>
  <conditionalFormatting sqref="D103:D104">
    <cfRule type="cellIs" priority="827" dxfId="6" operator="equal">
      <formula>0</formula>
    </cfRule>
  </conditionalFormatting>
  <conditionalFormatting sqref="D103:D104">
    <cfRule type="cellIs" priority="826" dxfId="1025" operator="notEqual">
      <formula>0</formula>
    </cfRule>
  </conditionalFormatting>
  <conditionalFormatting sqref="E103:E104">
    <cfRule type="cellIs" priority="825" dxfId="6" operator="equal">
      <formula>0</formula>
    </cfRule>
  </conditionalFormatting>
  <conditionalFormatting sqref="E103:E104">
    <cfRule type="cellIs" priority="824" dxfId="1025" operator="notEqual">
      <formula>0</formula>
    </cfRule>
  </conditionalFormatting>
  <conditionalFormatting sqref="F103:F104">
    <cfRule type="cellIs" priority="823" dxfId="6" operator="equal">
      <formula>0</formula>
    </cfRule>
  </conditionalFormatting>
  <conditionalFormatting sqref="F103:F104">
    <cfRule type="cellIs" priority="822" dxfId="1025" operator="notEqual">
      <formula>0</formula>
    </cfRule>
  </conditionalFormatting>
  <conditionalFormatting sqref="D105:D106">
    <cfRule type="cellIs" priority="821" dxfId="6" operator="equal">
      <formula>0</formula>
    </cfRule>
  </conditionalFormatting>
  <conditionalFormatting sqref="D105:D106">
    <cfRule type="cellIs" priority="820" dxfId="1025" operator="notEqual">
      <formula>0</formula>
    </cfRule>
  </conditionalFormatting>
  <conditionalFormatting sqref="E105:E106">
    <cfRule type="cellIs" priority="819" dxfId="6" operator="equal">
      <formula>0</formula>
    </cfRule>
  </conditionalFormatting>
  <conditionalFormatting sqref="E105:E106">
    <cfRule type="cellIs" priority="818" dxfId="1025" operator="notEqual">
      <formula>0</formula>
    </cfRule>
  </conditionalFormatting>
  <conditionalFormatting sqref="F105:F106">
    <cfRule type="cellIs" priority="817" dxfId="6" operator="equal">
      <formula>0</formula>
    </cfRule>
  </conditionalFormatting>
  <conditionalFormatting sqref="F105:F106">
    <cfRule type="cellIs" priority="816" dxfId="1025" operator="notEqual">
      <formula>0</formula>
    </cfRule>
  </conditionalFormatting>
  <conditionalFormatting sqref="D107:D108">
    <cfRule type="cellIs" priority="815" dxfId="6" operator="equal">
      <formula>0</formula>
    </cfRule>
  </conditionalFormatting>
  <conditionalFormatting sqref="D107:D108">
    <cfRule type="cellIs" priority="814" dxfId="1025" operator="notEqual">
      <formula>0</formula>
    </cfRule>
  </conditionalFormatting>
  <conditionalFormatting sqref="E107:E108">
    <cfRule type="cellIs" priority="813" dxfId="6" operator="equal">
      <formula>0</formula>
    </cfRule>
  </conditionalFormatting>
  <conditionalFormatting sqref="E107:E108">
    <cfRule type="cellIs" priority="812" dxfId="1025" operator="notEqual">
      <formula>0</formula>
    </cfRule>
  </conditionalFormatting>
  <conditionalFormatting sqref="F107:F108">
    <cfRule type="cellIs" priority="811" dxfId="6" operator="equal">
      <formula>0</formula>
    </cfRule>
  </conditionalFormatting>
  <conditionalFormatting sqref="F107:F108">
    <cfRule type="cellIs" priority="810" dxfId="1025" operator="notEqual">
      <formula>0</formula>
    </cfRule>
  </conditionalFormatting>
  <conditionalFormatting sqref="D109:D110">
    <cfRule type="cellIs" priority="809" dxfId="6" operator="equal">
      <formula>0</formula>
    </cfRule>
  </conditionalFormatting>
  <conditionalFormatting sqref="D109:D110">
    <cfRule type="cellIs" priority="808" dxfId="1025" operator="notEqual">
      <formula>0</formula>
    </cfRule>
  </conditionalFormatting>
  <conditionalFormatting sqref="E109:E110">
    <cfRule type="cellIs" priority="807" dxfId="6" operator="equal">
      <formula>0</formula>
    </cfRule>
  </conditionalFormatting>
  <conditionalFormatting sqref="E109:E110">
    <cfRule type="cellIs" priority="806" dxfId="1025" operator="notEqual">
      <formula>0</formula>
    </cfRule>
  </conditionalFormatting>
  <conditionalFormatting sqref="F109:F110">
    <cfRule type="cellIs" priority="805" dxfId="6" operator="equal">
      <formula>0</formula>
    </cfRule>
  </conditionalFormatting>
  <conditionalFormatting sqref="F109:F110">
    <cfRule type="cellIs" priority="804" dxfId="1025" operator="notEqual">
      <formula>0</formula>
    </cfRule>
  </conditionalFormatting>
  <conditionalFormatting sqref="D111:D112">
    <cfRule type="cellIs" priority="803" dxfId="6" operator="equal">
      <formula>0</formula>
    </cfRule>
  </conditionalFormatting>
  <conditionalFormatting sqref="D111:D112">
    <cfRule type="cellIs" priority="802" dxfId="1025" operator="notEqual">
      <formula>0</formula>
    </cfRule>
  </conditionalFormatting>
  <conditionalFormatting sqref="E111:E112">
    <cfRule type="cellIs" priority="801" dxfId="6" operator="equal">
      <formula>0</formula>
    </cfRule>
  </conditionalFormatting>
  <conditionalFormatting sqref="E111:E112">
    <cfRule type="cellIs" priority="800" dxfId="1025" operator="notEqual">
      <formula>0</formula>
    </cfRule>
  </conditionalFormatting>
  <conditionalFormatting sqref="F111:F112">
    <cfRule type="cellIs" priority="799" dxfId="6" operator="equal">
      <formula>0</formula>
    </cfRule>
  </conditionalFormatting>
  <conditionalFormatting sqref="F111:F112">
    <cfRule type="cellIs" priority="798" dxfId="1025" operator="notEqual">
      <formula>0</formula>
    </cfRule>
  </conditionalFormatting>
  <conditionalFormatting sqref="D113:D114">
    <cfRule type="cellIs" priority="797" dxfId="6" operator="equal">
      <formula>0</formula>
    </cfRule>
  </conditionalFormatting>
  <conditionalFormatting sqref="D113:D114">
    <cfRule type="cellIs" priority="796" dxfId="1025" operator="notEqual">
      <formula>0</formula>
    </cfRule>
  </conditionalFormatting>
  <conditionalFormatting sqref="E113:E114">
    <cfRule type="cellIs" priority="795" dxfId="6" operator="equal">
      <formula>0</formula>
    </cfRule>
  </conditionalFormatting>
  <conditionalFormatting sqref="E113:E114">
    <cfRule type="cellIs" priority="794" dxfId="1025" operator="notEqual">
      <formula>0</formula>
    </cfRule>
  </conditionalFormatting>
  <conditionalFormatting sqref="F113:F114">
    <cfRule type="cellIs" priority="793" dxfId="6" operator="equal">
      <formula>0</formula>
    </cfRule>
  </conditionalFormatting>
  <conditionalFormatting sqref="F113:F114">
    <cfRule type="cellIs" priority="792" dxfId="1025" operator="notEqual">
      <formula>0</formula>
    </cfRule>
  </conditionalFormatting>
  <conditionalFormatting sqref="D115:D116">
    <cfRule type="cellIs" priority="791" dxfId="6" operator="equal">
      <formula>0</formula>
    </cfRule>
  </conditionalFormatting>
  <conditionalFormatting sqref="D115:D116">
    <cfRule type="cellIs" priority="790" dxfId="1025" operator="notEqual">
      <formula>0</formula>
    </cfRule>
  </conditionalFormatting>
  <conditionalFormatting sqref="E115:E116">
    <cfRule type="cellIs" priority="789" dxfId="6" operator="equal">
      <formula>0</formula>
    </cfRule>
  </conditionalFormatting>
  <conditionalFormatting sqref="E115:E116">
    <cfRule type="cellIs" priority="788" dxfId="1025" operator="notEqual">
      <formula>0</formula>
    </cfRule>
  </conditionalFormatting>
  <conditionalFormatting sqref="F115:F116">
    <cfRule type="cellIs" priority="787" dxfId="6" operator="equal">
      <formula>0</formula>
    </cfRule>
  </conditionalFormatting>
  <conditionalFormatting sqref="F115:F116">
    <cfRule type="cellIs" priority="786" dxfId="1025" operator="notEqual">
      <formula>0</formula>
    </cfRule>
  </conditionalFormatting>
  <conditionalFormatting sqref="D117:D118">
    <cfRule type="cellIs" priority="785" dxfId="6" operator="equal">
      <formula>0</formula>
    </cfRule>
  </conditionalFormatting>
  <conditionalFormatting sqref="D117:D118">
    <cfRule type="cellIs" priority="784" dxfId="1025" operator="notEqual">
      <formula>0</formula>
    </cfRule>
  </conditionalFormatting>
  <conditionalFormatting sqref="E117:E118">
    <cfRule type="cellIs" priority="783" dxfId="6" operator="equal">
      <formula>0</formula>
    </cfRule>
  </conditionalFormatting>
  <conditionalFormatting sqref="E117:E118">
    <cfRule type="cellIs" priority="782" dxfId="1025" operator="notEqual">
      <formula>0</formula>
    </cfRule>
  </conditionalFormatting>
  <conditionalFormatting sqref="F117:F118">
    <cfRule type="cellIs" priority="781" dxfId="6" operator="equal">
      <formula>0</formula>
    </cfRule>
  </conditionalFormatting>
  <conditionalFormatting sqref="F117:F118">
    <cfRule type="cellIs" priority="780" dxfId="1025" operator="notEqual">
      <formula>0</formula>
    </cfRule>
  </conditionalFormatting>
  <conditionalFormatting sqref="D119:D120">
    <cfRule type="cellIs" priority="779" dxfId="6" operator="equal">
      <formula>0</formula>
    </cfRule>
  </conditionalFormatting>
  <conditionalFormatting sqref="D119:D120">
    <cfRule type="cellIs" priority="778" dxfId="1025" operator="notEqual">
      <formula>0</formula>
    </cfRule>
  </conditionalFormatting>
  <conditionalFormatting sqref="E119:E120">
    <cfRule type="cellIs" priority="777" dxfId="6" operator="equal">
      <formula>0</formula>
    </cfRule>
  </conditionalFormatting>
  <conditionalFormatting sqref="E119:E120">
    <cfRule type="cellIs" priority="776" dxfId="1025" operator="notEqual">
      <formula>0</formula>
    </cfRule>
  </conditionalFormatting>
  <conditionalFormatting sqref="F119:F120">
    <cfRule type="cellIs" priority="775" dxfId="6" operator="equal">
      <formula>0</formula>
    </cfRule>
  </conditionalFormatting>
  <conditionalFormatting sqref="F119:F120">
    <cfRule type="cellIs" priority="774" dxfId="1025" operator="notEqual">
      <formula>0</formula>
    </cfRule>
  </conditionalFormatting>
  <conditionalFormatting sqref="D121:D122">
    <cfRule type="cellIs" priority="773" dxfId="6" operator="equal">
      <formula>0</formula>
    </cfRule>
  </conditionalFormatting>
  <conditionalFormatting sqref="D121:D122">
    <cfRule type="cellIs" priority="772" dxfId="1025" operator="notEqual">
      <formula>0</formula>
    </cfRule>
  </conditionalFormatting>
  <conditionalFormatting sqref="E121:E122">
    <cfRule type="cellIs" priority="771" dxfId="6" operator="equal">
      <formula>0</formula>
    </cfRule>
  </conditionalFormatting>
  <conditionalFormatting sqref="E121:E122">
    <cfRule type="cellIs" priority="770" dxfId="1025" operator="notEqual">
      <formula>0</formula>
    </cfRule>
  </conditionalFormatting>
  <conditionalFormatting sqref="F121:F122">
    <cfRule type="cellIs" priority="769" dxfId="6" operator="equal">
      <formula>0</formula>
    </cfRule>
  </conditionalFormatting>
  <conditionalFormatting sqref="F121:F122">
    <cfRule type="cellIs" priority="768" dxfId="1025" operator="notEqual">
      <formula>0</formula>
    </cfRule>
  </conditionalFormatting>
  <conditionalFormatting sqref="D102:F102">
    <cfRule type="cellIs" priority="767" dxfId="87" operator="equal">
      <formula>0</formula>
    </cfRule>
  </conditionalFormatting>
  <conditionalFormatting sqref="D101:F101">
    <cfRule type="cellIs" priority="766" dxfId="87" operator="equal">
      <formula>0</formula>
    </cfRule>
  </conditionalFormatting>
  <conditionalFormatting sqref="D124:F124">
    <cfRule type="cellIs" priority="765" dxfId="87" operator="equal">
      <formula>0</formula>
    </cfRule>
  </conditionalFormatting>
  <conditionalFormatting sqref="D123:F123">
    <cfRule type="cellIs" priority="764" dxfId="87" operator="equal">
      <formula>0</formula>
    </cfRule>
  </conditionalFormatting>
  <conditionalFormatting sqref="D125:D126">
    <cfRule type="cellIs" priority="763" dxfId="6" operator="equal">
      <formula>0</formula>
    </cfRule>
  </conditionalFormatting>
  <conditionalFormatting sqref="D125:D126">
    <cfRule type="cellIs" priority="762" dxfId="1025" operator="notEqual">
      <formula>0</formula>
    </cfRule>
  </conditionalFormatting>
  <conditionalFormatting sqref="E125:E126">
    <cfRule type="cellIs" priority="761" dxfId="6" operator="equal">
      <formula>0</formula>
    </cfRule>
  </conditionalFormatting>
  <conditionalFormatting sqref="E125:E126">
    <cfRule type="cellIs" priority="760" dxfId="1025" operator="notEqual">
      <formula>0</formula>
    </cfRule>
  </conditionalFormatting>
  <conditionalFormatting sqref="F125:F126">
    <cfRule type="cellIs" priority="759" dxfId="6" operator="equal">
      <formula>0</formula>
    </cfRule>
  </conditionalFormatting>
  <conditionalFormatting sqref="F125:F126">
    <cfRule type="cellIs" priority="758" dxfId="1025" operator="notEqual">
      <formula>0</formula>
    </cfRule>
  </conditionalFormatting>
  <conditionalFormatting sqref="D127:D128">
    <cfRule type="cellIs" priority="757" dxfId="6" operator="equal">
      <formula>0</formula>
    </cfRule>
  </conditionalFormatting>
  <conditionalFormatting sqref="D127:D128">
    <cfRule type="cellIs" priority="756" dxfId="1025" operator="notEqual">
      <formula>0</formula>
    </cfRule>
  </conditionalFormatting>
  <conditionalFormatting sqref="E127:E128">
    <cfRule type="cellIs" priority="755" dxfId="6" operator="equal">
      <formula>0</formula>
    </cfRule>
  </conditionalFormatting>
  <conditionalFormatting sqref="E127:E128">
    <cfRule type="cellIs" priority="754" dxfId="1025" operator="notEqual">
      <formula>0</formula>
    </cfRule>
  </conditionalFormatting>
  <conditionalFormatting sqref="F127:F128">
    <cfRule type="cellIs" priority="753" dxfId="6" operator="equal">
      <formula>0</formula>
    </cfRule>
  </conditionalFormatting>
  <conditionalFormatting sqref="F127:F128">
    <cfRule type="cellIs" priority="752" dxfId="1025" operator="notEqual">
      <formula>0</formula>
    </cfRule>
  </conditionalFormatting>
  <conditionalFormatting sqref="D129:D130">
    <cfRule type="cellIs" priority="751" dxfId="6" operator="equal">
      <formula>0</formula>
    </cfRule>
  </conditionalFormatting>
  <conditionalFormatting sqref="D129:D130">
    <cfRule type="cellIs" priority="750" dxfId="1025" operator="notEqual">
      <formula>0</formula>
    </cfRule>
  </conditionalFormatting>
  <conditionalFormatting sqref="E129:E130">
    <cfRule type="cellIs" priority="749" dxfId="6" operator="equal">
      <formula>0</formula>
    </cfRule>
  </conditionalFormatting>
  <conditionalFormatting sqref="E129:E130">
    <cfRule type="cellIs" priority="748" dxfId="1025" operator="notEqual">
      <formula>0</formula>
    </cfRule>
  </conditionalFormatting>
  <conditionalFormatting sqref="F129:F130">
    <cfRule type="cellIs" priority="747" dxfId="6" operator="equal">
      <formula>0</formula>
    </cfRule>
  </conditionalFormatting>
  <conditionalFormatting sqref="F129:F130">
    <cfRule type="cellIs" priority="746" dxfId="1025" operator="notEqual">
      <formula>0</formula>
    </cfRule>
  </conditionalFormatting>
  <conditionalFormatting sqref="D131:D132">
    <cfRule type="cellIs" priority="745" dxfId="6" operator="equal">
      <formula>0</formula>
    </cfRule>
  </conditionalFormatting>
  <conditionalFormatting sqref="D131:D132">
    <cfRule type="cellIs" priority="744" dxfId="1025" operator="notEqual">
      <formula>0</formula>
    </cfRule>
  </conditionalFormatting>
  <conditionalFormatting sqref="E131:E132">
    <cfRule type="cellIs" priority="743" dxfId="6" operator="equal">
      <formula>0</formula>
    </cfRule>
  </conditionalFormatting>
  <conditionalFormatting sqref="E131:E132">
    <cfRule type="cellIs" priority="742" dxfId="1025" operator="notEqual">
      <formula>0</formula>
    </cfRule>
  </conditionalFormatting>
  <conditionalFormatting sqref="F131:F132">
    <cfRule type="cellIs" priority="741" dxfId="6" operator="equal">
      <formula>0</formula>
    </cfRule>
  </conditionalFormatting>
  <conditionalFormatting sqref="F131:F132">
    <cfRule type="cellIs" priority="740" dxfId="1025" operator="notEqual">
      <formula>0</formula>
    </cfRule>
  </conditionalFormatting>
  <conditionalFormatting sqref="D133:D134">
    <cfRule type="cellIs" priority="739" dxfId="6" operator="equal">
      <formula>0</formula>
    </cfRule>
  </conditionalFormatting>
  <conditionalFormatting sqref="D133:D134">
    <cfRule type="cellIs" priority="738" dxfId="1025" operator="notEqual">
      <formula>0</formula>
    </cfRule>
  </conditionalFormatting>
  <conditionalFormatting sqref="E133:E134">
    <cfRule type="cellIs" priority="737" dxfId="6" operator="equal">
      <formula>0</formula>
    </cfRule>
  </conditionalFormatting>
  <conditionalFormatting sqref="E133:E134">
    <cfRule type="cellIs" priority="736" dxfId="1025" operator="notEqual">
      <formula>0</formula>
    </cfRule>
  </conditionalFormatting>
  <conditionalFormatting sqref="F133:F134">
    <cfRule type="cellIs" priority="735" dxfId="6" operator="equal">
      <formula>0</formula>
    </cfRule>
  </conditionalFormatting>
  <conditionalFormatting sqref="F133:F134">
    <cfRule type="cellIs" priority="734" dxfId="1025" operator="notEqual">
      <formula>0</formula>
    </cfRule>
  </conditionalFormatting>
  <conditionalFormatting sqref="D135:D136">
    <cfRule type="cellIs" priority="733" dxfId="6" operator="equal">
      <formula>0</formula>
    </cfRule>
  </conditionalFormatting>
  <conditionalFormatting sqref="D135:D136">
    <cfRule type="cellIs" priority="732" dxfId="1025" operator="notEqual">
      <formula>0</formula>
    </cfRule>
  </conditionalFormatting>
  <conditionalFormatting sqref="E135:E136">
    <cfRule type="cellIs" priority="731" dxfId="6" operator="equal">
      <formula>0</formula>
    </cfRule>
  </conditionalFormatting>
  <conditionalFormatting sqref="E135:E136">
    <cfRule type="cellIs" priority="730" dxfId="1025" operator="notEqual">
      <formula>0</formula>
    </cfRule>
  </conditionalFormatting>
  <conditionalFormatting sqref="F135:F136">
    <cfRule type="cellIs" priority="729" dxfId="6" operator="equal">
      <formula>0</formula>
    </cfRule>
  </conditionalFormatting>
  <conditionalFormatting sqref="F135:F136">
    <cfRule type="cellIs" priority="728" dxfId="1025" operator="notEqual">
      <formula>0</formula>
    </cfRule>
  </conditionalFormatting>
  <conditionalFormatting sqref="D137:D138">
    <cfRule type="cellIs" priority="727" dxfId="6" operator="equal">
      <formula>0</formula>
    </cfRule>
  </conditionalFormatting>
  <conditionalFormatting sqref="D137:D138">
    <cfRule type="cellIs" priority="726" dxfId="1025" operator="notEqual">
      <formula>0</formula>
    </cfRule>
  </conditionalFormatting>
  <conditionalFormatting sqref="E137:E138">
    <cfRule type="cellIs" priority="725" dxfId="6" operator="equal">
      <formula>0</formula>
    </cfRule>
  </conditionalFormatting>
  <conditionalFormatting sqref="E137:E138">
    <cfRule type="cellIs" priority="724" dxfId="1025" operator="notEqual">
      <formula>0</formula>
    </cfRule>
  </conditionalFormatting>
  <conditionalFormatting sqref="F137:F138">
    <cfRule type="cellIs" priority="723" dxfId="6" operator="equal">
      <formula>0</formula>
    </cfRule>
  </conditionalFormatting>
  <conditionalFormatting sqref="F137:F138">
    <cfRule type="cellIs" priority="722" dxfId="1025" operator="notEqual">
      <formula>0</formula>
    </cfRule>
  </conditionalFormatting>
  <conditionalFormatting sqref="D139:D140">
    <cfRule type="cellIs" priority="721" dxfId="6" operator="equal">
      <formula>0</formula>
    </cfRule>
  </conditionalFormatting>
  <conditionalFormatting sqref="D139:D140">
    <cfRule type="cellIs" priority="720" dxfId="1025" operator="notEqual">
      <formula>0</formula>
    </cfRule>
  </conditionalFormatting>
  <conditionalFormatting sqref="E139:E140">
    <cfRule type="cellIs" priority="719" dxfId="6" operator="equal">
      <formula>0</formula>
    </cfRule>
  </conditionalFormatting>
  <conditionalFormatting sqref="E139:E140">
    <cfRule type="cellIs" priority="718" dxfId="1025" operator="notEqual">
      <formula>0</formula>
    </cfRule>
  </conditionalFormatting>
  <conditionalFormatting sqref="F139:F140">
    <cfRule type="cellIs" priority="717" dxfId="6" operator="equal">
      <formula>0</formula>
    </cfRule>
  </conditionalFormatting>
  <conditionalFormatting sqref="F139:F140">
    <cfRule type="cellIs" priority="716" dxfId="1025" operator="notEqual">
      <formula>0</formula>
    </cfRule>
  </conditionalFormatting>
  <conditionalFormatting sqref="D141:D142">
    <cfRule type="cellIs" priority="715" dxfId="6" operator="equal">
      <formula>0</formula>
    </cfRule>
  </conditionalFormatting>
  <conditionalFormatting sqref="D141:D142">
    <cfRule type="cellIs" priority="714" dxfId="1025" operator="notEqual">
      <formula>0</formula>
    </cfRule>
  </conditionalFormatting>
  <conditionalFormatting sqref="E141:E142">
    <cfRule type="cellIs" priority="713" dxfId="6" operator="equal">
      <formula>0</formula>
    </cfRule>
  </conditionalFormatting>
  <conditionalFormatting sqref="E141:E142">
    <cfRule type="cellIs" priority="712" dxfId="1025" operator="notEqual">
      <formula>0</formula>
    </cfRule>
  </conditionalFormatting>
  <conditionalFormatting sqref="F141:F142">
    <cfRule type="cellIs" priority="711" dxfId="6" operator="equal">
      <formula>0</formula>
    </cfRule>
  </conditionalFormatting>
  <conditionalFormatting sqref="F141:F142">
    <cfRule type="cellIs" priority="710" dxfId="1025" operator="notEqual">
      <formula>0</formula>
    </cfRule>
  </conditionalFormatting>
  <conditionalFormatting sqref="D144:F144">
    <cfRule type="cellIs" priority="709" dxfId="87" operator="equal">
      <formula>0</formula>
    </cfRule>
  </conditionalFormatting>
  <conditionalFormatting sqref="D143:F143">
    <cfRule type="cellIs" priority="708" dxfId="87" operator="equal">
      <formula>0</formula>
    </cfRule>
  </conditionalFormatting>
  <conditionalFormatting sqref="D145:D146">
    <cfRule type="cellIs" priority="707" dxfId="6" operator="equal">
      <formula>0</formula>
    </cfRule>
  </conditionalFormatting>
  <conditionalFormatting sqref="D145:D146">
    <cfRule type="cellIs" priority="706" dxfId="1025" operator="notEqual">
      <formula>0</formula>
    </cfRule>
  </conditionalFormatting>
  <conditionalFormatting sqref="E145:E146">
    <cfRule type="cellIs" priority="705" dxfId="6" operator="equal">
      <formula>0</formula>
    </cfRule>
  </conditionalFormatting>
  <conditionalFormatting sqref="E145:E146">
    <cfRule type="cellIs" priority="704" dxfId="1025" operator="notEqual">
      <formula>0</formula>
    </cfRule>
  </conditionalFormatting>
  <conditionalFormatting sqref="F145:F146">
    <cfRule type="cellIs" priority="703" dxfId="6" operator="equal">
      <formula>0</formula>
    </cfRule>
  </conditionalFormatting>
  <conditionalFormatting sqref="F145:F146">
    <cfRule type="cellIs" priority="702" dxfId="1025" operator="notEqual">
      <formula>0</formula>
    </cfRule>
  </conditionalFormatting>
  <conditionalFormatting sqref="D147:D148">
    <cfRule type="cellIs" priority="701" dxfId="6" operator="equal">
      <formula>0</formula>
    </cfRule>
  </conditionalFormatting>
  <conditionalFormatting sqref="D147:D148">
    <cfRule type="cellIs" priority="700" dxfId="1025" operator="notEqual">
      <formula>0</formula>
    </cfRule>
  </conditionalFormatting>
  <conditionalFormatting sqref="E147:E148">
    <cfRule type="cellIs" priority="699" dxfId="6" operator="equal">
      <formula>0</formula>
    </cfRule>
  </conditionalFormatting>
  <conditionalFormatting sqref="E147:E148">
    <cfRule type="cellIs" priority="698" dxfId="1025" operator="notEqual">
      <formula>0</formula>
    </cfRule>
  </conditionalFormatting>
  <conditionalFormatting sqref="F147:F148">
    <cfRule type="cellIs" priority="697" dxfId="6" operator="equal">
      <formula>0</formula>
    </cfRule>
  </conditionalFormatting>
  <conditionalFormatting sqref="F147:F148">
    <cfRule type="cellIs" priority="696" dxfId="1025" operator="notEqual">
      <formula>0</formula>
    </cfRule>
  </conditionalFormatting>
  <conditionalFormatting sqref="D151:D152">
    <cfRule type="cellIs" priority="695" dxfId="6" operator="equal">
      <formula>0</formula>
    </cfRule>
  </conditionalFormatting>
  <conditionalFormatting sqref="D151:D152">
    <cfRule type="cellIs" priority="694" dxfId="1025" operator="notEqual">
      <formula>0</formula>
    </cfRule>
  </conditionalFormatting>
  <conditionalFormatting sqref="E151:E152">
    <cfRule type="cellIs" priority="693" dxfId="6" operator="equal">
      <formula>0</formula>
    </cfRule>
  </conditionalFormatting>
  <conditionalFormatting sqref="E151:E152">
    <cfRule type="cellIs" priority="692" dxfId="1025" operator="notEqual">
      <formula>0</formula>
    </cfRule>
  </conditionalFormatting>
  <conditionalFormatting sqref="F151:F152">
    <cfRule type="cellIs" priority="691" dxfId="6" operator="equal">
      <formula>0</formula>
    </cfRule>
  </conditionalFormatting>
  <conditionalFormatting sqref="F151:F152">
    <cfRule type="cellIs" priority="690" dxfId="1025" operator="notEqual">
      <formula>0</formula>
    </cfRule>
  </conditionalFormatting>
  <conditionalFormatting sqref="D153:D154">
    <cfRule type="cellIs" priority="689" dxfId="6" operator="equal">
      <formula>0</formula>
    </cfRule>
  </conditionalFormatting>
  <conditionalFormatting sqref="D153:D154">
    <cfRule type="cellIs" priority="688" dxfId="1025" operator="notEqual">
      <formula>0</formula>
    </cfRule>
  </conditionalFormatting>
  <conditionalFormatting sqref="E153:E154">
    <cfRule type="cellIs" priority="687" dxfId="6" operator="equal">
      <formula>0</formula>
    </cfRule>
  </conditionalFormatting>
  <conditionalFormatting sqref="E153:E154">
    <cfRule type="cellIs" priority="686" dxfId="1025" operator="notEqual">
      <formula>0</formula>
    </cfRule>
  </conditionalFormatting>
  <conditionalFormatting sqref="F153:F154">
    <cfRule type="cellIs" priority="685" dxfId="6" operator="equal">
      <formula>0</formula>
    </cfRule>
  </conditionalFormatting>
  <conditionalFormatting sqref="F153:F154">
    <cfRule type="cellIs" priority="684" dxfId="1025" operator="notEqual">
      <formula>0</formula>
    </cfRule>
  </conditionalFormatting>
  <conditionalFormatting sqref="D155:D156">
    <cfRule type="cellIs" priority="683" dxfId="6" operator="equal">
      <formula>0</formula>
    </cfRule>
  </conditionalFormatting>
  <conditionalFormatting sqref="D155:D156">
    <cfRule type="cellIs" priority="682" dxfId="1025" operator="notEqual">
      <formula>0</formula>
    </cfRule>
  </conditionalFormatting>
  <conditionalFormatting sqref="E155:E156">
    <cfRule type="cellIs" priority="681" dxfId="6" operator="equal">
      <formula>0</formula>
    </cfRule>
  </conditionalFormatting>
  <conditionalFormatting sqref="E155:E156">
    <cfRule type="cellIs" priority="680" dxfId="1025" operator="notEqual">
      <formula>0</formula>
    </cfRule>
  </conditionalFormatting>
  <conditionalFormatting sqref="F155:F156">
    <cfRule type="cellIs" priority="679" dxfId="6" operator="equal">
      <formula>0</formula>
    </cfRule>
  </conditionalFormatting>
  <conditionalFormatting sqref="F155:F156">
    <cfRule type="cellIs" priority="678" dxfId="1025" operator="notEqual">
      <formula>0</formula>
    </cfRule>
  </conditionalFormatting>
  <conditionalFormatting sqref="D157:D158">
    <cfRule type="cellIs" priority="677" dxfId="6" operator="equal">
      <formula>0</formula>
    </cfRule>
  </conditionalFormatting>
  <conditionalFormatting sqref="D157:D158">
    <cfRule type="cellIs" priority="676" dxfId="1025" operator="notEqual">
      <formula>0</formula>
    </cfRule>
  </conditionalFormatting>
  <conditionalFormatting sqref="E157:E158">
    <cfRule type="cellIs" priority="675" dxfId="6" operator="equal">
      <formula>0</formula>
    </cfRule>
  </conditionalFormatting>
  <conditionalFormatting sqref="E157:E158">
    <cfRule type="cellIs" priority="674" dxfId="1025" operator="notEqual">
      <formula>0</formula>
    </cfRule>
  </conditionalFormatting>
  <conditionalFormatting sqref="F157:F158">
    <cfRule type="cellIs" priority="673" dxfId="6" operator="equal">
      <formula>0</formula>
    </cfRule>
  </conditionalFormatting>
  <conditionalFormatting sqref="F157:F158">
    <cfRule type="cellIs" priority="672" dxfId="1025" operator="notEqual">
      <formula>0</formula>
    </cfRule>
  </conditionalFormatting>
  <conditionalFormatting sqref="D159:D160">
    <cfRule type="cellIs" priority="671" dxfId="6" operator="equal">
      <formula>0</formula>
    </cfRule>
  </conditionalFormatting>
  <conditionalFormatting sqref="D159:D160">
    <cfRule type="cellIs" priority="670" dxfId="1025" operator="notEqual">
      <formula>0</formula>
    </cfRule>
  </conditionalFormatting>
  <conditionalFormatting sqref="E159:E160">
    <cfRule type="cellIs" priority="669" dxfId="6" operator="equal">
      <formula>0</formula>
    </cfRule>
  </conditionalFormatting>
  <conditionalFormatting sqref="E159:E160">
    <cfRule type="cellIs" priority="668" dxfId="1025" operator="notEqual">
      <formula>0</formula>
    </cfRule>
  </conditionalFormatting>
  <conditionalFormatting sqref="F159:F160">
    <cfRule type="cellIs" priority="667" dxfId="6" operator="equal">
      <formula>0</formula>
    </cfRule>
  </conditionalFormatting>
  <conditionalFormatting sqref="F159:F160">
    <cfRule type="cellIs" priority="666" dxfId="1025" operator="notEqual">
      <formula>0</formula>
    </cfRule>
  </conditionalFormatting>
  <conditionalFormatting sqref="D161:D162">
    <cfRule type="cellIs" priority="665" dxfId="6" operator="equal">
      <formula>0</formula>
    </cfRule>
  </conditionalFormatting>
  <conditionalFormatting sqref="D161:D162">
    <cfRule type="cellIs" priority="664" dxfId="1025" operator="notEqual">
      <formula>0</formula>
    </cfRule>
  </conditionalFormatting>
  <conditionalFormatting sqref="E161:E162">
    <cfRule type="cellIs" priority="663" dxfId="6" operator="equal">
      <formula>0</formula>
    </cfRule>
  </conditionalFormatting>
  <conditionalFormatting sqref="E161:E162">
    <cfRule type="cellIs" priority="662" dxfId="1025" operator="notEqual">
      <formula>0</formula>
    </cfRule>
  </conditionalFormatting>
  <conditionalFormatting sqref="F161:F162">
    <cfRule type="cellIs" priority="661" dxfId="6" operator="equal">
      <formula>0</formula>
    </cfRule>
  </conditionalFormatting>
  <conditionalFormatting sqref="F161:F162">
    <cfRule type="cellIs" priority="660" dxfId="1025" operator="notEqual">
      <formula>0</formula>
    </cfRule>
  </conditionalFormatting>
  <conditionalFormatting sqref="D163:D164">
    <cfRule type="cellIs" priority="659" dxfId="6" operator="equal">
      <formula>0</formula>
    </cfRule>
  </conditionalFormatting>
  <conditionalFormatting sqref="D163:D164">
    <cfRule type="cellIs" priority="658" dxfId="1025" operator="notEqual">
      <formula>0</formula>
    </cfRule>
  </conditionalFormatting>
  <conditionalFormatting sqref="E163:E164">
    <cfRule type="cellIs" priority="657" dxfId="6" operator="equal">
      <formula>0</formula>
    </cfRule>
  </conditionalFormatting>
  <conditionalFormatting sqref="E163:E164">
    <cfRule type="cellIs" priority="656" dxfId="1025" operator="notEqual">
      <formula>0</formula>
    </cfRule>
  </conditionalFormatting>
  <conditionalFormatting sqref="F163:F164">
    <cfRule type="cellIs" priority="655" dxfId="6" operator="equal">
      <formula>0</formula>
    </cfRule>
  </conditionalFormatting>
  <conditionalFormatting sqref="F163:F164">
    <cfRule type="cellIs" priority="654" dxfId="1025" operator="notEqual">
      <formula>0</formula>
    </cfRule>
  </conditionalFormatting>
  <conditionalFormatting sqref="D165:D166">
    <cfRule type="cellIs" priority="653" dxfId="6" operator="equal">
      <formula>0</formula>
    </cfRule>
  </conditionalFormatting>
  <conditionalFormatting sqref="D165:D166">
    <cfRule type="cellIs" priority="652" dxfId="1025" operator="notEqual">
      <formula>0</formula>
    </cfRule>
  </conditionalFormatting>
  <conditionalFormatting sqref="E165:E166">
    <cfRule type="cellIs" priority="651" dxfId="6" operator="equal">
      <formula>0</formula>
    </cfRule>
  </conditionalFormatting>
  <conditionalFormatting sqref="E165:E166">
    <cfRule type="cellIs" priority="650" dxfId="1025" operator="notEqual">
      <formula>0</formula>
    </cfRule>
  </conditionalFormatting>
  <conditionalFormatting sqref="F165:F166">
    <cfRule type="cellIs" priority="649" dxfId="6" operator="equal">
      <formula>0</formula>
    </cfRule>
  </conditionalFormatting>
  <conditionalFormatting sqref="F165:F166">
    <cfRule type="cellIs" priority="648" dxfId="1025" operator="notEqual">
      <formula>0</formula>
    </cfRule>
  </conditionalFormatting>
  <conditionalFormatting sqref="D150:F150">
    <cfRule type="cellIs" priority="647" dxfId="87" operator="equal">
      <formula>0</formula>
    </cfRule>
  </conditionalFormatting>
  <conditionalFormatting sqref="D149:F149">
    <cfRule type="cellIs" priority="646" dxfId="87" operator="equal">
      <formula>0</formula>
    </cfRule>
  </conditionalFormatting>
  <conditionalFormatting sqref="D168:F168">
    <cfRule type="cellIs" priority="645" dxfId="87" operator="equal">
      <formula>0</formula>
    </cfRule>
  </conditionalFormatting>
  <conditionalFormatting sqref="D167:F167">
    <cfRule type="cellIs" priority="644" dxfId="87" operator="equal">
      <formula>0</formula>
    </cfRule>
  </conditionalFormatting>
  <conditionalFormatting sqref="D169:D170">
    <cfRule type="cellIs" priority="643" dxfId="6" operator="equal">
      <formula>0</formula>
    </cfRule>
  </conditionalFormatting>
  <conditionalFormatting sqref="D169:D170">
    <cfRule type="cellIs" priority="642" dxfId="1025" operator="notEqual">
      <formula>0</formula>
    </cfRule>
  </conditionalFormatting>
  <conditionalFormatting sqref="E169:E170">
    <cfRule type="cellIs" priority="641" dxfId="6" operator="equal">
      <formula>0</formula>
    </cfRule>
  </conditionalFormatting>
  <conditionalFormatting sqref="E169:E170">
    <cfRule type="cellIs" priority="640" dxfId="1025" operator="notEqual">
      <formula>0</formula>
    </cfRule>
  </conditionalFormatting>
  <conditionalFormatting sqref="F169:F170">
    <cfRule type="cellIs" priority="639" dxfId="6" operator="equal">
      <formula>0</formula>
    </cfRule>
  </conditionalFormatting>
  <conditionalFormatting sqref="F169:F170">
    <cfRule type="cellIs" priority="638" dxfId="1025" operator="notEqual">
      <formula>0</formula>
    </cfRule>
  </conditionalFormatting>
  <conditionalFormatting sqref="D173:D174">
    <cfRule type="cellIs" priority="637" dxfId="6" operator="equal">
      <formula>0</formula>
    </cfRule>
  </conditionalFormatting>
  <conditionalFormatting sqref="D173:D174">
    <cfRule type="cellIs" priority="636" dxfId="1025" operator="notEqual">
      <formula>0</formula>
    </cfRule>
  </conditionalFormatting>
  <conditionalFormatting sqref="E173:E174">
    <cfRule type="cellIs" priority="635" dxfId="6" operator="equal">
      <formula>0</formula>
    </cfRule>
  </conditionalFormatting>
  <conditionalFormatting sqref="E173:E174">
    <cfRule type="cellIs" priority="634" dxfId="1025" operator="notEqual">
      <formula>0</formula>
    </cfRule>
  </conditionalFormatting>
  <conditionalFormatting sqref="F173:F174">
    <cfRule type="cellIs" priority="633" dxfId="6" operator="equal">
      <formula>0</formula>
    </cfRule>
  </conditionalFormatting>
  <conditionalFormatting sqref="F173:F174">
    <cfRule type="cellIs" priority="632" dxfId="1025" operator="notEqual">
      <formula>0</formula>
    </cfRule>
  </conditionalFormatting>
  <conditionalFormatting sqref="D175:D176">
    <cfRule type="cellIs" priority="631" dxfId="6" operator="equal">
      <formula>0</formula>
    </cfRule>
  </conditionalFormatting>
  <conditionalFormatting sqref="D175:D176">
    <cfRule type="cellIs" priority="630" dxfId="1025" operator="notEqual">
      <formula>0</formula>
    </cfRule>
  </conditionalFormatting>
  <conditionalFormatting sqref="E175:E176">
    <cfRule type="cellIs" priority="629" dxfId="6" operator="equal">
      <formula>0</formula>
    </cfRule>
  </conditionalFormatting>
  <conditionalFormatting sqref="E175:E176">
    <cfRule type="cellIs" priority="628" dxfId="1025" operator="notEqual">
      <formula>0</formula>
    </cfRule>
  </conditionalFormatting>
  <conditionalFormatting sqref="F175:F176">
    <cfRule type="cellIs" priority="627" dxfId="6" operator="equal">
      <formula>0</formula>
    </cfRule>
  </conditionalFormatting>
  <conditionalFormatting sqref="F175:F176">
    <cfRule type="cellIs" priority="626" dxfId="1025" operator="notEqual">
      <formula>0</formula>
    </cfRule>
  </conditionalFormatting>
  <conditionalFormatting sqref="D177:D178">
    <cfRule type="cellIs" priority="625" dxfId="6" operator="equal">
      <formula>0</formula>
    </cfRule>
  </conditionalFormatting>
  <conditionalFormatting sqref="D177:D178">
    <cfRule type="cellIs" priority="624" dxfId="1025" operator="notEqual">
      <formula>0</formula>
    </cfRule>
  </conditionalFormatting>
  <conditionalFormatting sqref="E177:E178">
    <cfRule type="cellIs" priority="623" dxfId="6" operator="equal">
      <formula>0</formula>
    </cfRule>
  </conditionalFormatting>
  <conditionalFormatting sqref="E177:E178">
    <cfRule type="cellIs" priority="622" dxfId="1025" operator="notEqual">
      <formula>0</formula>
    </cfRule>
  </conditionalFormatting>
  <conditionalFormatting sqref="F177:F178">
    <cfRule type="cellIs" priority="621" dxfId="6" operator="equal">
      <formula>0</formula>
    </cfRule>
  </conditionalFormatting>
  <conditionalFormatting sqref="F177:F178">
    <cfRule type="cellIs" priority="620" dxfId="1025" operator="notEqual">
      <formula>0</formula>
    </cfRule>
  </conditionalFormatting>
  <conditionalFormatting sqref="D172:F172">
    <cfRule type="cellIs" priority="619" dxfId="87" operator="equal">
      <formula>0</formula>
    </cfRule>
  </conditionalFormatting>
  <conditionalFormatting sqref="D171:F171">
    <cfRule type="cellIs" priority="618" dxfId="87" operator="equal">
      <formula>0</formula>
    </cfRule>
  </conditionalFormatting>
  <conditionalFormatting sqref="D180:F180">
    <cfRule type="cellIs" priority="617" dxfId="87" operator="equal">
      <formula>0</formula>
    </cfRule>
  </conditionalFormatting>
  <conditionalFormatting sqref="D179:F179">
    <cfRule type="cellIs" priority="616" dxfId="87" operator="equal">
      <formula>0</formula>
    </cfRule>
  </conditionalFormatting>
  <conditionalFormatting sqref="D181:D182">
    <cfRule type="cellIs" priority="615" dxfId="6" operator="equal">
      <formula>0</formula>
    </cfRule>
  </conditionalFormatting>
  <conditionalFormatting sqref="D181:D182">
    <cfRule type="cellIs" priority="614" dxfId="1025" operator="notEqual">
      <formula>0</formula>
    </cfRule>
  </conditionalFormatting>
  <conditionalFormatting sqref="E181:E182">
    <cfRule type="cellIs" priority="613" dxfId="6" operator="equal">
      <formula>0</formula>
    </cfRule>
  </conditionalFormatting>
  <conditionalFormatting sqref="E181:E182">
    <cfRule type="cellIs" priority="612" dxfId="1025" operator="notEqual">
      <formula>0</formula>
    </cfRule>
  </conditionalFormatting>
  <conditionalFormatting sqref="F181:F182">
    <cfRule type="cellIs" priority="611" dxfId="6" operator="equal">
      <formula>0</formula>
    </cfRule>
  </conditionalFormatting>
  <conditionalFormatting sqref="F181:F182">
    <cfRule type="cellIs" priority="610" dxfId="1025" operator="notEqual">
      <formula>0</formula>
    </cfRule>
  </conditionalFormatting>
  <conditionalFormatting sqref="D183:D184">
    <cfRule type="cellIs" priority="609" dxfId="6" operator="equal">
      <formula>0</formula>
    </cfRule>
  </conditionalFormatting>
  <conditionalFormatting sqref="D183:D184">
    <cfRule type="cellIs" priority="608" dxfId="1025" operator="notEqual">
      <formula>0</formula>
    </cfRule>
  </conditionalFormatting>
  <conditionalFormatting sqref="E183:E184">
    <cfRule type="cellIs" priority="607" dxfId="6" operator="equal">
      <formula>0</formula>
    </cfRule>
  </conditionalFormatting>
  <conditionalFormatting sqref="E183:E184">
    <cfRule type="cellIs" priority="606" dxfId="1025" operator="notEqual">
      <formula>0</formula>
    </cfRule>
  </conditionalFormatting>
  <conditionalFormatting sqref="F183:F184">
    <cfRule type="cellIs" priority="605" dxfId="6" operator="equal">
      <formula>0</formula>
    </cfRule>
  </conditionalFormatting>
  <conditionalFormatting sqref="F183:F184">
    <cfRule type="cellIs" priority="604" dxfId="1025" operator="notEqual">
      <formula>0</formula>
    </cfRule>
  </conditionalFormatting>
  <conditionalFormatting sqref="D185:D186">
    <cfRule type="cellIs" priority="603" dxfId="6" operator="equal">
      <formula>0</formula>
    </cfRule>
  </conditionalFormatting>
  <conditionalFormatting sqref="D185:D186">
    <cfRule type="cellIs" priority="602" dxfId="1025" operator="notEqual">
      <formula>0</formula>
    </cfRule>
  </conditionalFormatting>
  <conditionalFormatting sqref="E185:E186">
    <cfRule type="cellIs" priority="601" dxfId="6" operator="equal">
      <formula>0</formula>
    </cfRule>
  </conditionalFormatting>
  <conditionalFormatting sqref="E185:E186">
    <cfRule type="cellIs" priority="600" dxfId="1025" operator="notEqual">
      <formula>0</formula>
    </cfRule>
  </conditionalFormatting>
  <conditionalFormatting sqref="F185:F186">
    <cfRule type="cellIs" priority="599" dxfId="6" operator="equal">
      <formula>0</formula>
    </cfRule>
  </conditionalFormatting>
  <conditionalFormatting sqref="F185:F186">
    <cfRule type="cellIs" priority="598" dxfId="1025" operator="notEqual">
      <formula>0</formula>
    </cfRule>
  </conditionalFormatting>
  <conditionalFormatting sqref="D189:D190">
    <cfRule type="cellIs" priority="597" dxfId="6" operator="equal">
      <formula>0</formula>
    </cfRule>
  </conditionalFormatting>
  <conditionalFormatting sqref="D189:D190">
    <cfRule type="cellIs" priority="596" dxfId="1025" operator="notEqual">
      <formula>0</formula>
    </cfRule>
  </conditionalFormatting>
  <conditionalFormatting sqref="E189:E190">
    <cfRule type="cellIs" priority="595" dxfId="6" operator="equal">
      <formula>0</formula>
    </cfRule>
  </conditionalFormatting>
  <conditionalFormatting sqref="E189:E190">
    <cfRule type="cellIs" priority="594" dxfId="1025" operator="notEqual">
      <formula>0</formula>
    </cfRule>
  </conditionalFormatting>
  <conditionalFormatting sqref="F189:F190">
    <cfRule type="cellIs" priority="593" dxfId="6" operator="equal">
      <formula>0</formula>
    </cfRule>
  </conditionalFormatting>
  <conditionalFormatting sqref="F189:F190">
    <cfRule type="cellIs" priority="592" dxfId="1025" operator="notEqual">
      <formula>0</formula>
    </cfRule>
  </conditionalFormatting>
  <conditionalFormatting sqref="D191:D192">
    <cfRule type="cellIs" priority="591" dxfId="6" operator="equal">
      <formula>0</formula>
    </cfRule>
  </conditionalFormatting>
  <conditionalFormatting sqref="D191:D192">
    <cfRule type="cellIs" priority="590" dxfId="1025" operator="notEqual">
      <formula>0</formula>
    </cfRule>
  </conditionalFormatting>
  <conditionalFormatting sqref="E191:E192">
    <cfRule type="cellIs" priority="589" dxfId="6" operator="equal">
      <formula>0</formula>
    </cfRule>
  </conditionalFormatting>
  <conditionalFormatting sqref="E191:E192">
    <cfRule type="cellIs" priority="588" dxfId="1025" operator="notEqual">
      <formula>0</formula>
    </cfRule>
  </conditionalFormatting>
  <conditionalFormatting sqref="F191:F192">
    <cfRule type="cellIs" priority="587" dxfId="6" operator="equal">
      <formula>0</formula>
    </cfRule>
  </conditionalFormatting>
  <conditionalFormatting sqref="F191:F192">
    <cfRule type="cellIs" priority="586" dxfId="1025" operator="notEqual">
      <formula>0</formula>
    </cfRule>
  </conditionalFormatting>
  <conditionalFormatting sqref="D193:D194">
    <cfRule type="cellIs" priority="585" dxfId="6" operator="equal">
      <formula>0</formula>
    </cfRule>
  </conditionalFormatting>
  <conditionalFormatting sqref="D193:D194">
    <cfRule type="cellIs" priority="584" dxfId="1025" operator="notEqual">
      <formula>0</formula>
    </cfRule>
  </conditionalFormatting>
  <conditionalFormatting sqref="E193:E194">
    <cfRule type="cellIs" priority="583" dxfId="6" operator="equal">
      <formula>0</formula>
    </cfRule>
  </conditionalFormatting>
  <conditionalFormatting sqref="E193:E194">
    <cfRule type="cellIs" priority="582" dxfId="1025" operator="notEqual">
      <formula>0</formula>
    </cfRule>
  </conditionalFormatting>
  <conditionalFormatting sqref="F193:F194">
    <cfRule type="cellIs" priority="581" dxfId="6" operator="equal">
      <formula>0</formula>
    </cfRule>
  </conditionalFormatting>
  <conditionalFormatting sqref="F193:F194">
    <cfRule type="cellIs" priority="580" dxfId="1025" operator="notEqual">
      <formula>0</formula>
    </cfRule>
  </conditionalFormatting>
  <conditionalFormatting sqref="D195:D196">
    <cfRule type="cellIs" priority="579" dxfId="6" operator="equal">
      <formula>0</formula>
    </cfRule>
  </conditionalFormatting>
  <conditionalFormatting sqref="D195:D196">
    <cfRule type="cellIs" priority="578" dxfId="1025" operator="notEqual">
      <formula>0</formula>
    </cfRule>
  </conditionalFormatting>
  <conditionalFormatting sqref="E195:E196">
    <cfRule type="cellIs" priority="577" dxfId="6" operator="equal">
      <formula>0</formula>
    </cfRule>
  </conditionalFormatting>
  <conditionalFormatting sqref="E195:E196">
    <cfRule type="cellIs" priority="576" dxfId="1025" operator="notEqual">
      <formula>0</formula>
    </cfRule>
  </conditionalFormatting>
  <conditionalFormatting sqref="F195:F196">
    <cfRule type="cellIs" priority="575" dxfId="6" operator="equal">
      <formula>0</formula>
    </cfRule>
  </conditionalFormatting>
  <conditionalFormatting sqref="F195:F196">
    <cfRule type="cellIs" priority="574" dxfId="1025" operator="notEqual">
      <formula>0</formula>
    </cfRule>
  </conditionalFormatting>
  <conditionalFormatting sqref="D197:D198">
    <cfRule type="cellIs" priority="573" dxfId="6" operator="equal">
      <formula>0</formula>
    </cfRule>
  </conditionalFormatting>
  <conditionalFormatting sqref="D197:D198">
    <cfRule type="cellIs" priority="572" dxfId="1025" operator="notEqual">
      <formula>0</formula>
    </cfRule>
  </conditionalFormatting>
  <conditionalFormatting sqref="E197:E198">
    <cfRule type="cellIs" priority="571" dxfId="6" operator="equal">
      <formula>0</formula>
    </cfRule>
  </conditionalFormatting>
  <conditionalFormatting sqref="E197:E198">
    <cfRule type="cellIs" priority="570" dxfId="1025" operator="notEqual">
      <formula>0</formula>
    </cfRule>
  </conditionalFormatting>
  <conditionalFormatting sqref="F197:F198">
    <cfRule type="cellIs" priority="569" dxfId="6" operator="equal">
      <formula>0</formula>
    </cfRule>
  </conditionalFormatting>
  <conditionalFormatting sqref="F197:F198">
    <cfRule type="cellIs" priority="568" dxfId="1025" operator="notEqual">
      <formula>0</formula>
    </cfRule>
  </conditionalFormatting>
  <conditionalFormatting sqref="D199:D200">
    <cfRule type="cellIs" priority="567" dxfId="6" operator="equal">
      <formula>0</formula>
    </cfRule>
  </conditionalFormatting>
  <conditionalFormatting sqref="D199:D200">
    <cfRule type="cellIs" priority="566" dxfId="1025" operator="notEqual">
      <formula>0</formula>
    </cfRule>
  </conditionalFormatting>
  <conditionalFormatting sqref="E199:E200">
    <cfRule type="cellIs" priority="565" dxfId="6" operator="equal">
      <formula>0</formula>
    </cfRule>
  </conditionalFormatting>
  <conditionalFormatting sqref="E199:E200">
    <cfRule type="cellIs" priority="564" dxfId="1025" operator="notEqual">
      <formula>0</formula>
    </cfRule>
  </conditionalFormatting>
  <conditionalFormatting sqref="F199:F200">
    <cfRule type="cellIs" priority="563" dxfId="6" operator="equal">
      <formula>0</formula>
    </cfRule>
  </conditionalFormatting>
  <conditionalFormatting sqref="F199:F200">
    <cfRule type="cellIs" priority="562" dxfId="1025" operator="notEqual">
      <formula>0</formula>
    </cfRule>
  </conditionalFormatting>
  <conditionalFormatting sqref="D201:D202">
    <cfRule type="cellIs" priority="561" dxfId="6" operator="equal">
      <formula>0</formula>
    </cfRule>
  </conditionalFormatting>
  <conditionalFormatting sqref="D201:D202">
    <cfRule type="cellIs" priority="560" dxfId="1025" operator="notEqual">
      <formula>0</formula>
    </cfRule>
  </conditionalFormatting>
  <conditionalFormatting sqref="E201:E202">
    <cfRule type="cellIs" priority="559" dxfId="6" operator="equal">
      <formula>0</formula>
    </cfRule>
  </conditionalFormatting>
  <conditionalFormatting sqref="E201:E202">
    <cfRule type="cellIs" priority="558" dxfId="1025" operator="notEqual">
      <formula>0</formula>
    </cfRule>
  </conditionalFormatting>
  <conditionalFormatting sqref="F201:F202">
    <cfRule type="cellIs" priority="557" dxfId="6" operator="equal">
      <formula>0</formula>
    </cfRule>
  </conditionalFormatting>
  <conditionalFormatting sqref="F201:F202">
    <cfRule type="cellIs" priority="556" dxfId="1025" operator="notEqual">
      <formula>0</formula>
    </cfRule>
  </conditionalFormatting>
  <conditionalFormatting sqref="D203:D204">
    <cfRule type="cellIs" priority="555" dxfId="6" operator="equal">
      <formula>0</formula>
    </cfRule>
  </conditionalFormatting>
  <conditionalFormatting sqref="D203:D204">
    <cfRule type="cellIs" priority="554" dxfId="1025" operator="notEqual">
      <formula>0</formula>
    </cfRule>
  </conditionalFormatting>
  <conditionalFormatting sqref="E203:E204">
    <cfRule type="cellIs" priority="553" dxfId="6" operator="equal">
      <formula>0</formula>
    </cfRule>
  </conditionalFormatting>
  <conditionalFormatting sqref="E203:E204">
    <cfRule type="cellIs" priority="552" dxfId="1025" operator="notEqual">
      <formula>0</formula>
    </cfRule>
  </conditionalFormatting>
  <conditionalFormatting sqref="F203:F204">
    <cfRule type="cellIs" priority="551" dxfId="6" operator="equal">
      <formula>0</formula>
    </cfRule>
  </conditionalFormatting>
  <conditionalFormatting sqref="F203:F204">
    <cfRule type="cellIs" priority="550" dxfId="1025" operator="notEqual">
      <formula>0</formula>
    </cfRule>
  </conditionalFormatting>
  <conditionalFormatting sqref="D205:D206">
    <cfRule type="cellIs" priority="549" dxfId="6" operator="equal">
      <formula>0</formula>
    </cfRule>
  </conditionalFormatting>
  <conditionalFormatting sqref="D205:D206">
    <cfRule type="cellIs" priority="548" dxfId="1025" operator="notEqual">
      <formula>0</formula>
    </cfRule>
  </conditionalFormatting>
  <conditionalFormatting sqref="E205:E206">
    <cfRule type="cellIs" priority="547" dxfId="6" operator="equal">
      <formula>0</formula>
    </cfRule>
  </conditionalFormatting>
  <conditionalFormatting sqref="E205:E206">
    <cfRule type="cellIs" priority="546" dxfId="1025" operator="notEqual">
      <formula>0</formula>
    </cfRule>
  </conditionalFormatting>
  <conditionalFormatting sqref="F205:F206">
    <cfRule type="cellIs" priority="545" dxfId="6" operator="equal">
      <formula>0</formula>
    </cfRule>
  </conditionalFormatting>
  <conditionalFormatting sqref="F205:F206">
    <cfRule type="cellIs" priority="544" dxfId="1025" operator="notEqual">
      <formula>0</formula>
    </cfRule>
  </conditionalFormatting>
  <conditionalFormatting sqref="D207:D208">
    <cfRule type="cellIs" priority="543" dxfId="6" operator="equal">
      <formula>0</formula>
    </cfRule>
  </conditionalFormatting>
  <conditionalFormatting sqref="D207:D208">
    <cfRule type="cellIs" priority="542" dxfId="1025" operator="notEqual">
      <formula>0</formula>
    </cfRule>
  </conditionalFormatting>
  <conditionalFormatting sqref="E207:E208">
    <cfRule type="cellIs" priority="541" dxfId="6" operator="equal">
      <formula>0</formula>
    </cfRule>
  </conditionalFormatting>
  <conditionalFormatting sqref="E207:E208">
    <cfRule type="cellIs" priority="540" dxfId="1025" operator="notEqual">
      <formula>0</formula>
    </cfRule>
  </conditionalFormatting>
  <conditionalFormatting sqref="F207:F208">
    <cfRule type="cellIs" priority="539" dxfId="6" operator="equal">
      <formula>0</formula>
    </cfRule>
  </conditionalFormatting>
  <conditionalFormatting sqref="F207:F208">
    <cfRule type="cellIs" priority="538" dxfId="1025" operator="notEqual">
      <formula>0</formula>
    </cfRule>
  </conditionalFormatting>
  <conditionalFormatting sqref="D209:D210">
    <cfRule type="cellIs" priority="537" dxfId="6" operator="equal">
      <formula>0</formula>
    </cfRule>
  </conditionalFormatting>
  <conditionalFormatting sqref="D209:D210">
    <cfRule type="cellIs" priority="536" dxfId="1025" operator="notEqual">
      <formula>0</formula>
    </cfRule>
  </conditionalFormatting>
  <conditionalFormatting sqref="E209:E210">
    <cfRule type="cellIs" priority="535" dxfId="6" operator="equal">
      <formula>0</formula>
    </cfRule>
  </conditionalFormatting>
  <conditionalFormatting sqref="E209:E210">
    <cfRule type="cellIs" priority="534" dxfId="1025" operator="notEqual">
      <formula>0</formula>
    </cfRule>
  </conditionalFormatting>
  <conditionalFormatting sqref="F209:F210">
    <cfRule type="cellIs" priority="533" dxfId="6" operator="equal">
      <formula>0</formula>
    </cfRule>
  </conditionalFormatting>
  <conditionalFormatting sqref="F209:F210">
    <cfRule type="cellIs" priority="532" dxfId="1025" operator="notEqual">
      <formula>0</formula>
    </cfRule>
  </conditionalFormatting>
  <conditionalFormatting sqref="D211:D212">
    <cfRule type="cellIs" priority="531" dxfId="6" operator="equal">
      <formula>0</formula>
    </cfRule>
  </conditionalFormatting>
  <conditionalFormatting sqref="D211:D212">
    <cfRule type="cellIs" priority="530" dxfId="1025" operator="notEqual">
      <formula>0</formula>
    </cfRule>
  </conditionalFormatting>
  <conditionalFormatting sqref="E211:E212">
    <cfRule type="cellIs" priority="529" dxfId="6" operator="equal">
      <formula>0</formula>
    </cfRule>
  </conditionalFormatting>
  <conditionalFormatting sqref="E211:E212">
    <cfRule type="cellIs" priority="528" dxfId="1025" operator="notEqual">
      <formula>0</formula>
    </cfRule>
  </conditionalFormatting>
  <conditionalFormatting sqref="F211:F212">
    <cfRule type="cellIs" priority="527" dxfId="6" operator="equal">
      <formula>0</formula>
    </cfRule>
  </conditionalFormatting>
  <conditionalFormatting sqref="F211:F212">
    <cfRule type="cellIs" priority="526" dxfId="1025" operator="notEqual">
      <formula>0</formula>
    </cfRule>
  </conditionalFormatting>
  <conditionalFormatting sqref="D213:D214">
    <cfRule type="cellIs" priority="525" dxfId="6" operator="equal">
      <formula>0</formula>
    </cfRule>
  </conditionalFormatting>
  <conditionalFormatting sqref="D213:D214">
    <cfRule type="cellIs" priority="524" dxfId="1025" operator="notEqual">
      <formula>0</formula>
    </cfRule>
  </conditionalFormatting>
  <conditionalFormatting sqref="E213:E214">
    <cfRule type="cellIs" priority="523" dxfId="6" operator="equal">
      <formula>0</formula>
    </cfRule>
  </conditionalFormatting>
  <conditionalFormatting sqref="E213:E214">
    <cfRule type="cellIs" priority="522" dxfId="1025" operator="notEqual">
      <formula>0</formula>
    </cfRule>
  </conditionalFormatting>
  <conditionalFormatting sqref="F213:F214">
    <cfRule type="cellIs" priority="521" dxfId="6" operator="equal">
      <formula>0</formula>
    </cfRule>
  </conditionalFormatting>
  <conditionalFormatting sqref="F213:F214">
    <cfRule type="cellIs" priority="520" dxfId="1025" operator="notEqual">
      <formula>0</formula>
    </cfRule>
  </conditionalFormatting>
  <conditionalFormatting sqref="D215:D216">
    <cfRule type="cellIs" priority="513" dxfId="6" operator="equal">
      <formula>0</formula>
    </cfRule>
  </conditionalFormatting>
  <conditionalFormatting sqref="D215:D216">
    <cfRule type="cellIs" priority="512" dxfId="1025" operator="notEqual">
      <formula>0</formula>
    </cfRule>
  </conditionalFormatting>
  <conditionalFormatting sqref="E215:E216">
    <cfRule type="cellIs" priority="511" dxfId="6" operator="equal">
      <formula>0</formula>
    </cfRule>
  </conditionalFormatting>
  <conditionalFormatting sqref="E215:E216">
    <cfRule type="cellIs" priority="510" dxfId="1025" operator="notEqual">
      <formula>0</formula>
    </cfRule>
  </conditionalFormatting>
  <conditionalFormatting sqref="F215:F216">
    <cfRule type="cellIs" priority="509" dxfId="6" operator="equal">
      <formula>0</formula>
    </cfRule>
  </conditionalFormatting>
  <conditionalFormatting sqref="F215:F216">
    <cfRule type="cellIs" priority="508" dxfId="1025" operator="notEqual">
      <formula>0</formula>
    </cfRule>
  </conditionalFormatting>
  <conditionalFormatting sqref="D217:D218">
    <cfRule type="cellIs" priority="507" dxfId="6" operator="equal">
      <formula>0</formula>
    </cfRule>
  </conditionalFormatting>
  <conditionalFormatting sqref="D217:D218">
    <cfRule type="cellIs" priority="506" dxfId="1025" operator="notEqual">
      <formula>0</formula>
    </cfRule>
  </conditionalFormatting>
  <conditionalFormatting sqref="E217:E218">
    <cfRule type="cellIs" priority="505" dxfId="6" operator="equal">
      <formula>0</formula>
    </cfRule>
  </conditionalFormatting>
  <conditionalFormatting sqref="E217:E218">
    <cfRule type="cellIs" priority="504" dxfId="1025" operator="notEqual">
      <formula>0</formula>
    </cfRule>
  </conditionalFormatting>
  <conditionalFormatting sqref="F217:F218">
    <cfRule type="cellIs" priority="503" dxfId="6" operator="equal">
      <formula>0</formula>
    </cfRule>
  </conditionalFormatting>
  <conditionalFormatting sqref="F217:F218">
    <cfRule type="cellIs" priority="502" dxfId="1025" operator="notEqual">
      <formula>0</formula>
    </cfRule>
  </conditionalFormatting>
  <conditionalFormatting sqref="D219:D220">
    <cfRule type="cellIs" priority="501" dxfId="6" operator="equal">
      <formula>0</formula>
    </cfRule>
  </conditionalFormatting>
  <conditionalFormatting sqref="D219:D220">
    <cfRule type="cellIs" priority="500" dxfId="1025" operator="notEqual">
      <formula>0</formula>
    </cfRule>
  </conditionalFormatting>
  <conditionalFormatting sqref="E219:E220">
    <cfRule type="cellIs" priority="499" dxfId="6" operator="equal">
      <formula>0</formula>
    </cfRule>
  </conditionalFormatting>
  <conditionalFormatting sqref="E219:E220">
    <cfRule type="cellIs" priority="498" dxfId="1025" operator="notEqual">
      <formula>0</formula>
    </cfRule>
  </conditionalFormatting>
  <conditionalFormatting sqref="F219:F220">
    <cfRule type="cellIs" priority="497" dxfId="6" operator="equal">
      <formula>0</formula>
    </cfRule>
  </conditionalFormatting>
  <conditionalFormatting sqref="F219:F220">
    <cfRule type="cellIs" priority="496" dxfId="1025" operator="notEqual">
      <formula>0</formula>
    </cfRule>
  </conditionalFormatting>
  <conditionalFormatting sqref="D221:D222">
    <cfRule type="cellIs" priority="495" dxfId="6" operator="equal">
      <formula>0</formula>
    </cfRule>
  </conditionalFormatting>
  <conditionalFormatting sqref="D221:D222">
    <cfRule type="cellIs" priority="494" dxfId="1025" operator="notEqual">
      <formula>0</formula>
    </cfRule>
  </conditionalFormatting>
  <conditionalFormatting sqref="E221:E222">
    <cfRule type="cellIs" priority="493" dxfId="6" operator="equal">
      <formula>0</formula>
    </cfRule>
  </conditionalFormatting>
  <conditionalFormatting sqref="E221:E222">
    <cfRule type="cellIs" priority="492" dxfId="1025" operator="notEqual">
      <formula>0</formula>
    </cfRule>
  </conditionalFormatting>
  <conditionalFormatting sqref="F221:F222">
    <cfRule type="cellIs" priority="491" dxfId="6" operator="equal">
      <formula>0</formula>
    </cfRule>
  </conditionalFormatting>
  <conditionalFormatting sqref="F221:F222">
    <cfRule type="cellIs" priority="490" dxfId="1025" operator="notEqual">
      <formula>0</formula>
    </cfRule>
  </conditionalFormatting>
  <conditionalFormatting sqref="D223:D224">
    <cfRule type="cellIs" priority="489" dxfId="6" operator="equal">
      <formula>0</formula>
    </cfRule>
  </conditionalFormatting>
  <conditionalFormatting sqref="D223:D224">
    <cfRule type="cellIs" priority="488" dxfId="1025" operator="notEqual">
      <formula>0</formula>
    </cfRule>
  </conditionalFormatting>
  <conditionalFormatting sqref="E223:E224">
    <cfRule type="cellIs" priority="487" dxfId="6" operator="equal">
      <formula>0</formula>
    </cfRule>
  </conditionalFormatting>
  <conditionalFormatting sqref="E223:E224">
    <cfRule type="cellIs" priority="486" dxfId="1025" operator="notEqual">
      <formula>0</formula>
    </cfRule>
  </conditionalFormatting>
  <conditionalFormatting sqref="F223:F224">
    <cfRule type="cellIs" priority="485" dxfId="6" operator="equal">
      <formula>0</formula>
    </cfRule>
  </conditionalFormatting>
  <conditionalFormatting sqref="F223:F224">
    <cfRule type="cellIs" priority="484" dxfId="1025" operator="notEqual">
      <formula>0</formula>
    </cfRule>
  </conditionalFormatting>
  <conditionalFormatting sqref="D225:D226">
    <cfRule type="cellIs" priority="483" dxfId="6" operator="equal">
      <formula>0</formula>
    </cfRule>
  </conditionalFormatting>
  <conditionalFormatting sqref="D225:D226">
    <cfRule type="cellIs" priority="482" dxfId="1025" operator="notEqual">
      <formula>0</formula>
    </cfRule>
  </conditionalFormatting>
  <conditionalFormatting sqref="E225:E226">
    <cfRule type="cellIs" priority="481" dxfId="6" operator="equal">
      <formula>0</formula>
    </cfRule>
  </conditionalFormatting>
  <conditionalFormatting sqref="E225:E226">
    <cfRule type="cellIs" priority="480" dxfId="1025" operator="notEqual">
      <formula>0</formula>
    </cfRule>
  </conditionalFormatting>
  <conditionalFormatting sqref="F225:F226">
    <cfRule type="cellIs" priority="479" dxfId="6" operator="equal">
      <formula>0</formula>
    </cfRule>
  </conditionalFormatting>
  <conditionalFormatting sqref="F225:F226">
    <cfRule type="cellIs" priority="478" dxfId="1025" operator="notEqual">
      <formula>0</formula>
    </cfRule>
  </conditionalFormatting>
  <conditionalFormatting sqref="D227:D228">
    <cfRule type="cellIs" priority="477" dxfId="6" operator="equal">
      <formula>0</formula>
    </cfRule>
  </conditionalFormatting>
  <conditionalFormatting sqref="D227:D228">
    <cfRule type="cellIs" priority="476" dxfId="1025" operator="notEqual">
      <formula>0</formula>
    </cfRule>
  </conditionalFormatting>
  <conditionalFormatting sqref="E227:E228">
    <cfRule type="cellIs" priority="475" dxfId="6" operator="equal">
      <formula>0</formula>
    </cfRule>
  </conditionalFormatting>
  <conditionalFormatting sqref="E227:E228">
    <cfRule type="cellIs" priority="474" dxfId="1025" operator="notEqual">
      <formula>0</formula>
    </cfRule>
  </conditionalFormatting>
  <conditionalFormatting sqref="F227:F228">
    <cfRule type="cellIs" priority="473" dxfId="6" operator="equal">
      <formula>0</formula>
    </cfRule>
  </conditionalFormatting>
  <conditionalFormatting sqref="F227:F228">
    <cfRule type="cellIs" priority="472" dxfId="1025" operator="notEqual">
      <formula>0</formula>
    </cfRule>
  </conditionalFormatting>
  <conditionalFormatting sqref="D229:D230">
    <cfRule type="cellIs" priority="471" dxfId="6" operator="equal">
      <formula>0</formula>
    </cfRule>
  </conditionalFormatting>
  <conditionalFormatting sqref="D229:D230">
    <cfRule type="cellIs" priority="470" dxfId="1025" operator="notEqual">
      <formula>0</formula>
    </cfRule>
  </conditionalFormatting>
  <conditionalFormatting sqref="E229:E230">
    <cfRule type="cellIs" priority="469" dxfId="6" operator="equal">
      <formula>0</formula>
    </cfRule>
  </conditionalFormatting>
  <conditionalFormatting sqref="E229:E230">
    <cfRule type="cellIs" priority="468" dxfId="1025" operator="notEqual">
      <formula>0</formula>
    </cfRule>
  </conditionalFormatting>
  <conditionalFormatting sqref="F229:F230">
    <cfRule type="cellIs" priority="467" dxfId="6" operator="equal">
      <formula>0</formula>
    </cfRule>
  </conditionalFormatting>
  <conditionalFormatting sqref="F229:F230">
    <cfRule type="cellIs" priority="466" dxfId="1025" operator="notEqual">
      <formula>0</formula>
    </cfRule>
  </conditionalFormatting>
  <conditionalFormatting sqref="D231:D232">
    <cfRule type="cellIs" priority="465" dxfId="6" operator="equal">
      <formula>0</formula>
    </cfRule>
  </conditionalFormatting>
  <conditionalFormatting sqref="D231:D232">
    <cfRule type="cellIs" priority="464" dxfId="1025" operator="notEqual">
      <formula>0</formula>
    </cfRule>
  </conditionalFormatting>
  <conditionalFormatting sqref="E231:E232">
    <cfRule type="cellIs" priority="463" dxfId="6" operator="equal">
      <formula>0</formula>
    </cfRule>
  </conditionalFormatting>
  <conditionalFormatting sqref="E231:E232">
    <cfRule type="cellIs" priority="462" dxfId="1025" operator="notEqual">
      <formula>0</formula>
    </cfRule>
  </conditionalFormatting>
  <conditionalFormatting sqref="F231:F232">
    <cfRule type="cellIs" priority="461" dxfId="6" operator="equal">
      <formula>0</formula>
    </cfRule>
  </conditionalFormatting>
  <conditionalFormatting sqref="F231:F232">
    <cfRule type="cellIs" priority="460" dxfId="1025" operator="notEqual">
      <formula>0</formula>
    </cfRule>
  </conditionalFormatting>
  <conditionalFormatting sqref="D233:D234">
    <cfRule type="cellIs" priority="459" dxfId="6" operator="equal">
      <formula>0</formula>
    </cfRule>
  </conditionalFormatting>
  <conditionalFormatting sqref="D233:D234">
    <cfRule type="cellIs" priority="458" dxfId="1025" operator="notEqual">
      <formula>0</formula>
    </cfRule>
  </conditionalFormatting>
  <conditionalFormatting sqref="E233:E234">
    <cfRule type="cellIs" priority="457" dxfId="6" operator="equal">
      <formula>0</formula>
    </cfRule>
  </conditionalFormatting>
  <conditionalFormatting sqref="E233:E234">
    <cfRule type="cellIs" priority="456" dxfId="1025" operator="notEqual">
      <formula>0</formula>
    </cfRule>
  </conditionalFormatting>
  <conditionalFormatting sqref="F233:F234">
    <cfRule type="cellIs" priority="455" dxfId="6" operator="equal">
      <formula>0</formula>
    </cfRule>
  </conditionalFormatting>
  <conditionalFormatting sqref="F233:F234">
    <cfRule type="cellIs" priority="454" dxfId="1025" operator="notEqual">
      <formula>0</formula>
    </cfRule>
  </conditionalFormatting>
  <conditionalFormatting sqref="D235:D236">
    <cfRule type="cellIs" priority="453" dxfId="6" operator="equal">
      <formula>0</formula>
    </cfRule>
  </conditionalFormatting>
  <conditionalFormatting sqref="D235:D236">
    <cfRule type="cellIs" priority="452" dxfId="1025" operator="notEqual">
      <formula>0</formula>
    </cfRule>
  </conditionalFormatting>
  <conditionalFormatting sqref="E235:E236">
    <cfRule type="cellIs" priority="451" dxfId="6" operator="equal">
      <formula>0</formula>
    </cfRule>
  </conditionalFormatting>
  <conditionalFormatting sqref="E235:E236">
    <cfRule type="cellIs" priority="450" dxfId="1025" operator="notEqual">
      <formula>0</formula>
    </cfRule>
  </conditionalFormatting>
  <conditionalFormatting sqref="F235:F236">
    <cfRule type="cellIs" priority="449" dxfId="6" operator="equal">
      <formula>0</formula>
    </cfRule>
  </conditionalFormatting>
  <conditionalFormatting sqref="F235:F236">
    <cfRule type="cellIs" priority="448" dxfId="1025" operator="notEqual">
      <formula>0</formula>
    </cfRule>
  </conditionalFormatting>
  <conditionalFormatting sqref="D237:D238">
    <cfRule type="cellIs" priority="447" dxfId="6" operator="equal">
      <formula>0</formula>
    </cfRule>
  </conditionalFormatting>
  <conditionalFormatting sqref="D237:D238">
    <cfRule type="cellIs" priority="446" dxfId="1025" operator="notEqual">
      <formula>0</formula>
    </cfRule>
  </conditionalFormatting>
  <conditionalFormatting sqref="E237:E238">
    <cfRule type="cellIs" priority="445" dxfId="6" operator="equal">
      <formula>0</formula>
    </cfRule>
  </conditionalFormatting>
  <conditionalFormatting sqref="E237:E238">
    <cfRule type="cellIs" priority="444" dxfId="1025" operator="notEqual">
      <formula>0</formula>
    </cfRule>
  </conditionalFormatting>
  <conditionalFormatting sqref="F237:F238">
    <cfRule type="cellIs" priority="443" dxfId="6" operator="equal">
      <formula>0</formula>
    </cfRule>
  </conditionalFormatting>
  <conditionalFormatting sqref="F237:F238">
    <cfRule type="cellIs" priority="442" dxfId="1025" operator="notEqual">
      <formula>0</formula>
    </cfRule>
  </conditionalFormatting>
  <conditionalFormatting sqref="D239:D240">
    <cfRule type="cellIs" priority="441" dxfId="6" operator="equal">
      <formula>0</formula>
    </cfRule>
  </conditionalFormatting>
  <conditionalFormatting sqref="D239:D240">
    <cfRule type="cellIs" priority="440" dxfId="1025" operator="notEqual">
      <formula>0</formula>
    </cfRule>
  </conditionalFormatting>
  <conditionalFormatting sqref="E239:E240">
    <cfRule type="cellIs" priority="439" dxfId="6" operator="equal">
      <formula>0</formula>
    </cfRule>
  </conditionalFormatting>
  <conditionalFormatting sqref="E239:E240">
    <cfRule type="cellIs" priority="438" dxfId="1025" operator="notEqual">
      <formula>0</formula>
    </cfRule>
  </conditionalFormatting>
  <conditionalFormatting sqref="F239:F240">
    <cfRule type="cellIs" priority="437" dxfId="6" operator="equal">
      <formula>0</formula>
    </cfRule>
  </conditionalFormatting>
  <conditionalFormatting sqref="F239:F240">
    <cfRule type="cellIs" priority="436" dxfId="1025" operator="notEqual">
      <formula>0</formula>
    </cfRule>
  </conditionalFormatting>
  <conditionalFormatting sqref="D241:D242">
    <cfRule type="cellIs" priority="435" dxfId="6" operator="equal">
      <formula>0</formula>
    </cfRule>
  </conditionalFormatting>
  <conditionalFormatting sqref="D241:D242">
    <cfRule type="cellIs" priority="434" dxfId="1025" operator="notEqual">
      <formula>0</formula>
    </cfRule>
  </conditionalFormatting>
  <conditionalFormatting sqref="E241:E242">
    <cfRule type="cellIs" priority="433" dxfId="6" operator="equal">
      <formula>0</formula>
    </cfRule>
  </conditionalFormatting>
  <conditionalFormatting sqref="E241:E242">
    <cfRule type="cellIs" priority="432" dxfId="1025" operator="notEqual">
      <formula>0</formula>
    </cfRule>
  </conditionalFormatting>
  <conditionalFormatting sqref="F241:F242">
    <cfRule type="cellIs" priority="431" dxfId="6" operator="equal">
      <formula>0</formula>
    </cfRule>
  </conditionalFormatting>
  <conditionalFormatting sqref="F241:F242">
    <cfRule type="cellIs" priority="430" dxfId="1025" operator="notEqual">
      <formula>0</formula>
    </cfRule>
  </conditionalFormatting>
  <conditionalFormatting sqref="D243:D244">
    <cfRule type="cellIs" priority="429" dxfId="6" operator="equal">
      <formula>0</formula>
    </cfRule>
  </conditionalFormatting>
  <conditionalFormatting sqref="D243:D244">
    <cfRule type="cellIs" priority="428" dxfId="1025" operator="notEqual">
      <formula>0</formula>
    </cfRule>
  </conditionalFormatting>
  <conditionalFormatting sqref="E243:E244">
    <cfRule type="cellIs" priority="427" dxfId="6" operator="equal">
      <formula>0</formula>
    </cfRule>
  </conditionalFormatting>
  <conditionalFormatting sqref="E243:E244">
    <cfRule type="cellIs" priority="426" dxfId="1025" operator="notEqual">
      <formula>0</formula>
    </cfRule>
  </conditionalFormatting>
  <conditionalFormatting sqref="F243:F244">
    <cfRule type="cellIs" priority="425" dxfId="6" operator="equal">
      <formula>0</formula>
    </cfRule>
  </conditionalFormatting>
  <conditionalFormatting sqref="F243:F244">
    <cfRule type="cellIs" priority="424" dxfId="1025" operator="notEqual">
      <formula>0</formula>
    </cfRule>
  </conditionalFormatting>
  <conditionalFormatting sqref="D245:D246">
    <cfRule type="cellIs" priority="423" dxfId="6" operator="equal">
      <formula>0</formula>
    </cfRule>
  </conditionalFormatting>
  <conditionalFormatting sqref="D245:D246">
    <cfRule type="cellIs" priority="422" dxfId="1025" operator="notEqual">
      <formula>0</formula>
    </cfRule>
  </conditionalFormatting>
  <conditionalFormatting sqref="E245:E246">
    <cfRule type="cellIs" priority="421" dxfId="6" operator="equal">
      <formula>0</formula>
    </cfRule>
  </conditionalFormatting>
  <conditionalFormatting sqref="E245:E246">
    <cfRule type="cellIs" priority="420" dxfId="1025" operator="notEqual">
      <formula>0</formula>
    </cfRule>
  </conditionalFormatting>
  <conditionalFormatting sqref="F245:F246">
    <cfRule type="cellIs" priority="419" dxfId="6" operator="equal">
      <formula>0</formula>
    </cfRule>
  </conditionalFormatting>
  <conditionalFormatting sqref="F245:F246">
    <cfRule type="cellIs" priority="418" dxfId="1025" operator="notEqual">
      <formula>0</formula>
    </cfRule>
  </conditionalFormatting>
  <conditionalFormatting sqref="D247:D248">
    <cfRule type="cellIs" priority="417" dxfId="6" operator="equal">
      <formula>0</formula>
    </cfRule>
  </conditionalFormatting>
  <conditionalFormatting sqref="D247:D248">
    <cfRule type="cellIs" priority="416" dxfId="1025" operator="notEqual">
      <formula>0</formula>
    </cfRule>
  </conditionalFormatting>
  <conditionalFormatting sqref="E247:E248">
    <cfRule type="cellIs" priority="415" dxfId="6" operator="equal">
      <formula>0</formula>
    </cfRule>
  </conditionalFormatting>
  <conditionalFormatting sqref="E247:E248">
    <cfRule type="cellIs" priority="414" dxfId="1025" operator="notEqual">
      <formula>0</formula>
    </cfRule>
  </conditionalFormatting>
  <conditionalFormatting sqref="F247:F248">
    <cfRule type="cellIs" priority="413" dxfId="6" operator="equal">
      <formula>0</formula>
    </cfRule>
  </conditionalFormatting>
  <conditionalFormatting sqref="F247:F248">
    <cfRule type="cellIs" priority="412" dxfId="1025" operator="notEqual">
      <formula>0</formula>
    </cfRule>
  </conditionalFormatting>
  <conditionalFormatting sqref="D188:F188">
    <cfRule type="cellIs" priority="411" dxfId="87" operator="equal">
      <formula>0</formula>
    </cfRule>
  </conditionalFormatting>
  <conditionalFormatting sqref="D187:F187">
    <cfRule type="cellIs" priority="410" dxfId="87" operator="equal">
      <formula>0</formula>
    </cfRule>
  </conditionalFormatting>
  <conditionalFormatting sqref="D250:F250">
    <cfRule type="cellIs" priority="409" dxfId="87" operator="equal">
      <formula>0</formula>
    </cfRule>
  </conditionalFormatting>
  <conditionalFormatting sqref="D249:F249">
    <cfRule type="cellIs" priority="408" dxfId="87" operator="equal">
      <formula>0</formula>
    </cfRule>
  </conditionalFormatting>
  <conditionalFormatting sqref="D251:D252">
    <cfRule type="cellIs" priority="407" dxfId="6" operator="equal">
      <formula>0</formula>
    </cfRule>
  </conditionalFormatting>
  <conditionalFormatting sqref="D251:D252">
    <cfRule type="cellIs" priority="406" dxfId="1025" operator="notEqual">
      <formula>0</formula>
    </cfRule>
  </conditionalFormatting>
  <conditionalFormatting sqref="E251:E252">
    <cfRule type="cellIs" priority="405" dxfId="6" operator="equal">
      <formula>0</formula>
    </cfRule>
  </conditionalFormatting>
  <conditionalFormatting sqref="E251:E252">
    <cfRule type="cellIs" priority="404" dxfId="1025" operator="notEqual">
      <formula>0</formula>
    </cfRule>
  </conditionalFormatting>
  <conditionalFormatting sqref="F251:F252">
    <cfRule type="cellIs" priority="403" dxfId="6" operator="equal">
      <formula>0</formula>
    </cfRule>
  </conditionalFormatting>
  <conditionalFormatting sqref="F251:F252">
    <cfRule type="cellIs" priority="402" dxfId="1025" operator="notEqual">
      <formula>0</formula>
    </cfRule>
  </conditionalFormatting>
  <conditionalFormatting sqref="D253:D254">
    <cfRule type="cellIs" priority="401" dxfId="6" operator="equal">
      <formula>0</formula>
    </cfRule>
  </conditionalFormatting>
  <conditionalFormatting sqref="D253:D254">
    <cfRule type="cellIs" priority="400" dxfId="1025" operator="notEqual">
      <formula>0</formula>
    </cfRule>
  </conditionalFormatting>
  <conditionalFormatting sqref="E253:E254">
    <cfRule type="cellIs" priority="399" dxfId="6" operator="equal">
      <formula>0</formula>
    </cfRule>
  </conditionalFormatting>
  <conditionalFormatting sqref="E253:E254">
    <cfRule type="cellIs" priority="398" dxfId="1025" operator="notEqual">
      <formula>0</formula>
    </cfRule>
  </conditionalFormatting>
  <conditionalFormatting sqref="F253:F254">
    <cfRule type="cellIs" priority="397" dxfId="6" operator="equal">
      <formula>0</formula>
    </cfRule>
  </conditionalFormatting>
  <conditionalFormatting sqref="F253:F254">
    <cfRule type="cellIs" priority="396" dxfId="1025" operator="notEqual">
      <formula>0</formula>
    </cfRule>
  </conditionalFormatting>
  <conditionalFormatting sqref="D255:D256">
    <cfRule type="cellIs" priority="395" dxfId="6" operator="equal">
      <formula>0</formula>
    </cfRule>
  </conditionalFormatting>
  <conditionalFormatting sqref="D255:D256">
    <cfRule type="cellIs" priority="394" dxfId="1025" operator="notEqual">
      <formula>0</formula>
    </cfRule>
  </conditionalFormatting>
  <conditionalFormatting sqref="E255:E256">
    <cfRule type="cellIs" priority="393" dxfId="6" operator="equal">
      <formula>0</formula>
    </cfRule>
  </conditionalFormatting>
  <conditionalFormatting sqref="E255:E256">
    <cfRule type="cellIs" priority="392" dxfId="1025" operator="notEqual">
      <formula>0</formula>
    </cfRule>
  </conditionalFormatting>
  <conditionalFormatting sqref="F255:F256">
    <cfRule type="cellIs" priority="391" dxfId="6" operator="equal">
      <formula>0</formula>
    </cfRule>
  </conditionalFormatting>
  <conditionalFormatting sqref="F255:F256">
    <cfRule type="cellIs" priority="390" dxfId="1025" operator="notEqual">
      <formula>0</formula>
    </cfRule>
  </conditionalFormatting>
  <conditionalFormatting sqref="D257:D258">
    <cfRule type="cellIs" priority="389" dxfId="6" operator="equal">
      <formula>0</formula>
    </cfRule>
  </conditionalFormatting>
  <conditionalFormatting sqref="D257:D258">
    <cfRule type="cellIs" priority="388" dxfId="1025" operator="notEqual">
      <formula>0</formula>
    </cfRule>
  </conditionalFormatting>
  <conditionalFormatting sqref="E257:E258">
    <cfRule type="cellIs" priority="387" dxfId="6" operator="equal">
      <formula>0</formula>
    </cfRule>
  </conditionalFormatting>
  <conditionalFormatting sqref="E257:E258">
    <cfRule type="cellIs" priority="386" dxfId="1025" operator="notEqual">
      <formula>0</formula>
    </cfRule>
  </conditionalFormatting>
  <conditionalFormatting sqref="F257:F258">
    <cfRule type="cellIs" priority="385" dxfId="6" operator="equal">
      <formula>0</formula>
    </cfRule>
  </conditionalFormatting>
  <conditionalFormatting sqref="F257:F258">
    <cfRule type="cellIs" priority="384" dxfId="1025" operator="notEqual">
      <formula>0</formula>
    </cfRule>
  </conditionalFormatting>
  <conditionalFormatting sqref="D264:F264">
    <cfRule type="cellIs" priority="383" dxfId="87" operator="equal">
      <formula>0</formula>
    </cfRule>
  </conditionalFormatting>
  <conditionalFormatting sqref="D263:F263">
    <cfRule type="cellIs" priority="382" dxfId="87" operator="equal">
      <formula>0</formula>
    </cfRule>
  </conditionalFormatting>
  <conditionalFormatting sqref="D265:D266">
    <cfRule type="cellIs" priority="381" dxfId="6" operator="equal">
      <formula>0</formula>
    </cfRule>
  </conditionalFormatting>
  <conditionalFormatting sqref="D265:D266">
    <cfRule type="cellIs" priority="380" dxfId="1025" operator="notEqual">
      <formula>0</formula>
    </cfRule>
  </conditionalFormatting>
  <conditionalFormatting sqref="E265:E266">
    <cfRule type="cellIs" priority="379" dxfId="6" operator="equal">
      <formula>0</formula>
    </cfRule>
  </conditionalFormatting>
  <conditionalFormatting sqref="E265:E266">
    <cfRule type="cellIs" priority="378" dxfId="1025" operator="notEqual">
      <formula>0</formula>
    </cfRule>
  </conditionalFormatting>
  <conditionalFormatting sqref="F265:F266">
    <cfRule type="cellIs" priority="377" dxfId="6" operator="equal">
      <formula>0</formula>
    </cfRule>
  </conditionalFormatting>
  <conditionalFormatting sqref="F265:F266">
    <cfRule type="cellIs" priority="376" dxfId="1025" operator="notEqual">
      <formula>0</formula>
    </cfRule>
  </conditionalFormatting>
  <conditionalFormatting sqref="D267:D268">
    <cfRule type="cellIs" priority="375" dxfId="6" operator="equal">
      <formula>0</formula>
    </cfRule>
  </conditionalFormatting>
  <conditionalFormatting sqref="D267:D268">
    <cfRule type="cellIs" priority="374" dxfId="1025" operator="notEqual">
      <formula>0</formula>
    </cfRule>
  </conditionalFormatting>
  <conditionalFormatting sqref="E267:E268">
    <cfRule type="cellIs" priority="373" dxfId="6" operator="equal">
      <formula>0</formula>
    </cfRule>
  </conditionalFormatting>
  <conditionalFormatting sqref="E267:E268">
    <cfRule type="cellIs" priority="372" dxfId="1025" operator="notEqual">
      <formula>0</formula>
    </cfRule>
  </conditionalFormatting>
  <conditionalFormatting sqref="F267:F268">
    <cfRule type="cellIs" priority="371" dxfId="6" operator="equal">
      <formula>0</formula>
    </cfRule>
  </conditionalFormatting>
  <conditionalFormatting sqref="F267:F268">
    <cfRule type="cellIs" priority="370" dxfId="1025" operator="notEqual">
      <formula>0</formula>
    </cfRule>
  </conditionalFormatting>
  <conditionalFormatting sqref="D269:D270">
    <cfRule type="cellIs" priority="369" dxfId="6" operator="equal">
      <formula>0</formula>
    </cfRule>
  </conditionalFormatting>
  <conditionalFormatting sqref="D269:D270">
    <cfRule type="cellIs" priority="368" dxfId="1025" operator="notEqual">
      <formula>0</formula>
    </cfRule>
  </conditionalFormatting>
  <conditionalFormatting sqref="E269:E270">
    <cfRule type="cellIs" priority="367" dxfId="6" operator="equal">
      <formula>0</formula>
    </cfRule>
  </conditionalFormatting>
  <conditionalFormatting sqref="E269:E270">
    <cfRule type="cellIs" priority="366" dxfId="1025" operator="notEqual">
      <formula>0</formula>
    </cfRule>
  </conditionalFormatting>
  <conditionalFormatting sqref="F269:F270">
    <cfRule type="cellIs" priority="365" dxfId="6" operator="equal">
      <formula>0</formula>
    </cfRule>
  </conditionalFormatting>
  <conditionalFormatting sqref="F269:F270">
    <cfRule type="cellIs" priority="364" dxfId="1025" operator="notEqual">
      <formula>0</formula>
    </cfRule>
  </conditionalFormatting>
  <conditionalFormatting sqref="D271:D272">
    <cfRule type="cellIs" priority="363" dxfId="6" operator="equal">
      <formula>0</formula>
    </cfRule>
  </conditionalFormatting>
  <conditionalFormatting sqref="D271:D272">
    <cfRule type="cellIs" priority="362" dxfId="1025" operator="notEqual">
      <formula>0</formula>
    </cfRule>
  </conditionalFormatting>
  <conditionalFormatting sqref="E271:E272">
    <cfRule type="cellIs" priority="361" dxfId="6" operator="equal">
      <formula>0</formula>
    </cfRule>
  </conditionalFormatting>
  <conditionalFormatting sqref="E271:E272">
    <cfRule type="cellIs" priority="360" dxfId="1025" operator="notEqual">
      <formula>0</formula>
    </cfRule>
  </conditionalFormatting>
  <conditionalFormatting sqref="F271:F272">
    <cfRule type="cellIs" priority="359" dxfId="6" operator="equal">
      <formula>0</formula>
    </cfRule>
  </conditionalFormatting>
  <conditionalFormatting sqref="F271:F272">
    <cfRule type="cellIs" priority="358" dxfId="1025" operator="notEqual">
      <formula>0</formula>
    </cfRule>
  </conditionalFormatting>
  <conditionalFormatting sqref="D274:F274">
    <cfRule type="cellIs" priority="357" dxfId="87" operator="equal">
      <formula>0</formula>
    </cfRule>
  </conditionalFormatting>
  <conditionalFormatting sqref="D273:F273">
    <cfRule type="cellIs" priority="356" dxfId="87" operator="equal">
      <formula>0</formula>
    </cfRule>
  </conditionalFormatting>
  <conditionalFormatting sqref="D275:D276">
    <cfRule type="cellIs" priority="355" dxfId="6" operator="equal">
      <formula>0</formula>
    </cfRule>
  </conditionalFormatting>
  <conditionalFormatting sqref="D275:D276">
    <cfRule type="cellIs" priority="354" dxfId="1025" operator="notEqual">
      <formula>0</formula>
    </cfRule>
  </conditionalFormatting>
  <conditionalFormatting sqref="E275:E276">
    <cfRule type="cellIs" priority="353" dxfId="6" operator="equal">
      <formula>0</formula>
    </cfRule>
  </conditionalFormatting>
  <conditionalFormatting sqref="E275:E276">
    <cfRule type="cellIs" priority="352" dxfId="1025" operator="notEqual">
      <formula>0</formula>
    </cfRule>
  </conditionalFormatting>
  <conditionalFormatting sqref="F275:F276">
    <cfRule type="cellIs" priority="351" dxfId="6" operator="equal">
      <formula>0</formula>
    </cfRule>
  </conditionalFormatting>
  <conditionalFormatting sqref="F275:F276">
    <cfRule type="cellIs" priority="350" dxfId="1025" operator="notEqual">
      <formula>0</formula>
    </cfRule>
  </conditionalFormatting>
  <conditionalFormatting sqref="D277:D278">
    <cfRule type="cellIs" priority="349" dxfId="6" operator="equal">
      <formula>0</formula>
    </cfRule>
  </conditionalFormatting>
  <conditionalFormatting sqref="D277:D278">
    <cfRule type="cellIs" priority="348" dxfId="1025" operator="notEqual">
      <formula>0</formula>
    </cfRule>
  </conditionalFormatting>
  <conditionalFormatting sqref="E277:E278">
    <cfRule type="cellIs" priority="347" dxfId="6" operator="equal">
      <formula>0</formula>
    </cfRule>
  </conditionalFormatting>
  <conditionalFormatting sqref="E277:E278">
    <cfRule type="cellIs" priority="346" dxfId="1025" operator="notEqual">
      <formula>0</formula>
    </cfRule>
  </conditionalFormatting>
  <conditionalFormatting sqref="F277:F278">
    <cfRule type="cellIs" priority="345" dxfId="6" operator="equal">
      <formula>0</formula>
    </cfRule>
  </conditionalFormatting>
  <conditionalFormatting sqref="F277:F278">
    <cfRule type="cellIs" priority="344" dxfId="1025" operator="notEqual">
      <formula>0</formula>
    </cfRule>
  </conditionalFormatting>
  <conditionalFormatting sqref="D279:D280">
    <cfRule type="cellIs" priority="343" dxfId="6" operator="equal">
      <formula>0</formula>
    </cfRule>
  </conditionalFormatting>
  <conditionalFormatting sqref="D279:D280">
    <cfRule type="cellIs" priority="342" dxfId="1025" operator="notEqual">
      <formula>0</formula>
    </cfRule>
  </conditionalFormatting>
  <conditionalFormatting sqref="E279:E280">
    <cfRule type="cellIs" priority="341" dxfId="6" operator="equal">
      <formula>0</formula>
    </cfRule>
  </conditionalFormatting>
  <conditionalFormatting sqref="E279:E280">
    <cfRule type="cellIs" priority="340" dxfId="1025" operator="notEqual">
      <formula>0</formula>
    </cfRule>
  </conditionalFormatting>
  <conditionalFormatting sqref="F279:F280">
    <cfRule type="cellIs" priority="339" dxfId="6" operator="equal">
      <formula>0</formula>
    </cfRule>
  </conditionalFormatting>
  <conditionalFormatting sqref="F279:F280">
    <cfRule type="cellIs" priority="338" dxfId="1025" operator="notEqual">
      <formula>0</formula>
    </cfRule>
  </conditionalFormatting>
  <conditionalFormatting sqref="D281:D282">
    <cfRule type="cellIs" priority="337" dxfId="6" operator="equal">
      <formula>0</formula>
    </cfRule>
  </conditionalFormatting>
  <conditionalFormatting sqref="D281:D282">
    <cfRule type="cellIs" priority="336" dxfId="1025" operator="notEqual">
      <formula>0</formula>
    </cfRule>
  </conditionalFormatting>
  <conditionalFormatting sqref="E281:E282">
    <cfRule type="cellIs" priority="335" dxfId="6" operator="equal">
      <formula>0</formula>
    </cfRule>
  </conditionalFormatting>
  <conditionalFormatting sqref="E281:E282">
    <cfRule type="cellIs" priority="334" dxfId="1025" operator="notEqual">
      <formula>0</formula>
    </cfRule>
  </conditionalFormatting>
  <conditionalFormatting sqref="F281:F282">
    <cfRule type="cellIs" priority="333" dxfId="6" operator="equal">
      <formula>0</formula>
    </cfRule>
  </conditionalFormatting>
  <conditionalFormatting sqref="F281:F282">
    <cfRule type="cellIs" priority="332" dxfId="1025" operator="notEqual">
      <formula>0</formula>
    </cfRule>
  </conditionalFormatting>
  <conditionalFormatting sqref="D283:D284">
    <cfRule type="cellIs" priority="331" dxfId="6" operator="equal">
      <formula>0</formula>
    </cfRule>
  </conditionalFormatting>
  <conditionalFormatting sqref="D283:D284">
    <cfRule type="cellIs" priority="330" dxfId="1025" operator="notEqual">
      <formula>0</formula>
    </cfRule>
  </conditionalFormatting>
  <conditionalFormatting sqref="E283:E284">
    <cfRule type="cellIs" priority="329" dxfId="6" operator="equal">
      <formula>0</formula>
    </cfRule>
  </conditionalFormatting>
  <conditionalFormatting sqref="E283:E284">
    <cfRule type="cellIs" priority="328" dxfId="1025" operator="notEqual">
      <formula>0</formula>
    </cfRule>
  </conditionalFormatting>
  <conditionalFormatting sqref="F283:F284">
    <cfRule type="cellIs" priority="327" dxfId="6" operator="equal">
      <formula>0</formula>
    </cfRule>
  </conditionalFormatting>
  <conditionalFormatting sqref="F283:F284">
    <cfRule type="cellIs" priority="326" dxfId="1025" operator="notEqual">
      <formula>0</formula>
    </cfRule>
  </conditionalFormatting>
  <conditionalFormatting sqref="D285:D286">
    <cfRule type="cellIs" priority="325" dxfId="6" operator="equal">
      <formula>0</formula>
    </cfRule>
  </conditionalFormatting>
  <conditionalFormatting sqref="D285:D286">
    <cfRule type="cellIs" priority="324" dxfId="1025" operator="notEqual">
      <formula>0</formula>
    </cfRule>
  </conditionalFormatting>
  <conditionalFormatting sqref="E285:E286">
    <cfRule type="cellIs" priority="323" dxfId="6" operator="equal">
      <formula>0</formula>
    </cfRule>
  </conditionalFormatting>
  <conditionalFormatting sqref="E285:E286">
    <cfRule type="cellIs" priority="322" dxfId="1025" operator="notEqual">
      <formula>0</formula>
    </cfRule>
  </conditionalFormatting>
  <conditionalFormatting sqref="F285:F286">
    <cfRule type="cellIs" priority="321" dxfId="6" operator="equal">
      <formula>0</formula>
    </cfRule>
  </conditionalFormatting>
  <conditionalFormatting sqref="F285:F286">
    <cfRule type="cellIs" priority="320" dxfId="1025" operator="notEqual">
      <formula>0</formula>
    </cfRule>
  </conditionalFormatting>
  <conditionalFormatting sqref="D287:D288">
    <cfRule type="cellIs" priority="319" dxfId="6" operator="equal">
      <formula>0</formula>
    </cfRule>
  </conditionalFormatting>
  <conditionalFormatting sqref="D287:D288">
    <cfRule type="cellIs" priority="318" dxfId="1025" operator="notEqual">
      <formula>0</formula>
    </cfRule>
  </conditionalFormatting>
  <conditionalFormatting sqref="E287:E288">
    <cfRule type="cellIs" priority="317" dxfId="6" operator="equal">
      <formula>0</formula>
    </cfRule>
  </conditionalFormatting>
  <conditionalFormatting sqref="E287:E288">
    <cfRule type="cellIs" priority="316" dxfId="1025" operator="notEqual">
      <formula>0</formula>
    </cfRule>
  </conditionalFormatting>
  <conditionalFormatting sqref="F287:F288">
    <cfRule type="cellIs" priority="315" dxfId="6" operator="equal">
      <formula>0</formula>
    </cfRule>
  </conditionalFormatting>
  <conditionalFormatting sqref="F287:F288">
    <cfRule type="cellIs" priority="314" dxfId="1025" operator="notEqual">
      <formula>0</formula>
    </cfRule>
  </conditionalFormatting>
  <conditionalFormatting sqref="D289:D290">
    <cfRule type="cellIs" priority="313" dxfId="6" operator="equal">
      <formula>0</formula>
    </cfRule>
  </conditionalFormatting>
  <conditionalFormatting sqref="D289:D290">
    <cfRule type="cellIs" priority="312" dxfId="1025" operator="notEqual">
      <formula>0</formula>
    </cfRule>
  </conditionalFormatting>
  <conditionalFormatting sqref="E289:E290">
    <cfRule type="cellIs" priority="311" dxfId="6" operator="equal">
      <formula>0</formula>
    </cfRule>
  </conditionalFormatting>
  <conditionalFormatting sqref="E289:E290">
    <cfRule type="cellIs" priority="310" dxfId="1025" operator="notEqual">
      <formula>0</formula>
    </cfRule>
  </conditionalFormatting>
  <conditionalFormatting sqref="F289:F290">
    <cfRule type="cellIs" priority="309" dxfId="6" operator="equal">
      <formula>0</formula>
    </cfRule>
  </conditionalFormatting>
  <conditionalFormatting sqref="F289:F290">
    <cfRule type="cellIs" priority="308" dxfId="1025" operator="notEqual">
      <formula>0</formula>
    </cfRule>
  </conditionalFormatting>
  <conditionalFormatting sqref="D291:D292">
    <cfRule type="cellIs" priority="307" dxfId="6" operator="equal">
      <formula>0</formula>
    </cfRule>
  </conditionalFormatting>
  <conditionalFormatting sqref="D291:D292">
    <cfRule type="cellIs" priority="306" dxfId="1025" operator="notEqual">
      <formula>0</formula>
    </cfRule>
  </conditionalFormatting>
  <conditionalFormatting sqref="E291:E292">
    <cfRule type="cellIs" priority="305" dxfId="6" operator="equal">
      <formula>0</formula>
    </cfRule>
  </conditionalFormatting>
  <conditionalFormatting sqref="E291:E292">
    <cfRule type="cellIs" priority="304" dxfId="1025" operator="notEqual">
      <formula>0</formula>
    </cfRule>
  </conditionalFormatting>
  <conditionalFormatting sqref="F291:F292">
    <cfRule type="cellIs" priority="303" dxfId="6" operator="equal">
      <formula>0</formula>
    </cfRule>
  </conditionalFormatting>
  <conditionalFormatting sqref="F291:F292">
    <cfRule type="cellIs" priority="302" dxfId="1025" operator="notEqual">
      <formula>0</formula>
    </cfRule>
  </conditionalFormatting>
  <conditionalFormatting sqref="D293:D294">
    <cfRule type="cellIs" priority="301" dxfId="6" operator="equal">
      <formula>0</formula>
    </cfRule>
  </conditionalFormatting>
  <conditionalFormatting sqref="D293:D294">
    <cfRule type="cellIs" priority="300" dxfId="1025" operator="notEqual">
      <formula>0</formula>
    </cfRule>
  </conditionalFormatting>
  <conditionalFormatting sqref="E293:E294">
    <cfRule type="cellIs" priority="299" dxfId="6" operator="equal">
      <formula>0</formula>
    </cfRule>
  </conditionalFormatting>
  <conditionalFormatting sqref="E293:E294">
    <cfRule type="cellIs" priority="298" dxfId="1025" operator="notEqual">
      <formula>0</formula>
    </cfRule>
  </conditionalFormatting>
  <conditionalFormatting sqref="F293:F294">
    <cfRule type="cellIs" priority="297" dxfId="6" operator="equal">
      <formula>0</formula>
    </cfRule>
  </conditionalFormatting>
  <conditionalFormatting sqref="F293:F294">
    <cfRule type="cellIs" priority="296" dxfId="1025" operator="notEqual">
      <formula>0</formula>
    </cfRule>
  </conditionalFormatting>
  <conditionalFormatting sqref="D295:D296">
    <cfRule type="cellIs" priority="295" dxfId="6" operator="equal">
      <formula>0</formula>
    </cfRule>
  </conditionalFormatting>
  <conditionalFormatting sqref="D295:D296">
    <cfRule type="cellIs" priority="294" dxfId="1025" operator="notEqual">
      <formula>0</formula>
    </cfRule>
  </conditionalFormatting>
  <conditionalFormatting sqref="E295:E296">
    <cfRule type="cellIs" priority="293" dxfId="6" operator="equal">
      <formula>0</formula>
    </cfRule>
  </conditionalFormatting>
  <conditionalFormatting sqref="E295:E296">
    <cfRule type="cellIs" priority="292" dxfId="1025" operator="notEqual">
      <formula>0</formula>
    </cfRule>
  </conditionalFormatting>
  <conditionalFormatting sqref="F295:F296">
    <cfRule type="cellIs" priority="291" dxfId="6" operator="equal">
      <formula>0</formula>
    </cfRule>
  </conditionalFormatting>
  <conditionalFormatting sqref="F295:F296">
    <cfRule type="cellIs" priority="290" dxfId="1025" operator="notEqual">
      <formula>0</formula>
    </cfRule>
  </conditionalFormatting>
  <conditionalFormatting sqref="D297:D298">
    <cfRule type="cellIs" priority="289" dxfId="6" operator="equal">
      <formula>0</formula>
    </cfRule>
  </conditionalFormatting>
  <conditionalFormatting sqref="D297:D298">
    <cfRule type="cellIs" priority="288" dxfId="1025" operator="notEqual">
      <formula>0</formula>
    </cfRule>
  </conditionalFormatting>
  <conditionalFormatting sqref="E297:E298">
    <cfRule type="cellIs" priority="287" dxfId="6" operator="equal">
      <formula>0</formula>
    </cfRule>
  </conditionalFormatting>
  <conditionalFormatting sqref="E297:E298">
    <cfRule type="cellIs" priority="286" dxfId="1025" operator="notEqual">
      <formula>0</formula>
    </cfRule>
  </conditionalFormatting>
  <conditionalFormatting sqref="F297:F298">
    <cfRule type="cellIs" priority="285" dxfId="6" operator="equal">
      <formula>0</formula>
    </cfRule>
  </conditionalFormatting>
  <conditionalFormatting sqref="F297:F298">
    <cfRule type="cellIs" priority="284" dxfId="1025" operator="notEqual">
      <formula>0</formula>
    </cfRule>
  </conditionalFormatting>
  <conditionalFormatting sqref="D299:D300">
    <cfRule type="cellIs" priority="283" dxfId="6" operator="equal">
      <formula>0</formula>
    </cfRule>
  </conditionalFormatting>
  <conditionalFormatting sqref="D299:D300">
    <cfRule type="cellIs" priority="282" dxfId="1025" operator="notEqual">
      <formula>0</formula>
    </cfRule>
  </conditionalFormatting>
  <conditionalFormatting sqref="E299:E300">
    <cfRule type="cellIs" priority="281" dxfId="6" operator="equal">
      <formula>0</formula>
    </cfRule>
  </conditionalFormatting>
  <conditionalFormatting sqref="E299:E300">
    <cfRule type="cellIs" priority="280" dxfId="1025" operator="notEqual">
      <formula>0</formula>
    </cfRule>
  </conditionalFormatting>
  <conditionalFormatting sqref="F299:F300">
    <cfRule type="cellIs" priority="279" dxfId="6" operator="equal">
      <formula>0</formula>
    </cfRule>
  </conditionalFormatting>
  <conditionalFormatting sqref="F299:F300">
    <cfRule type="cellIs" priority="278" dxfId="1025" operator="notEqual">
      <formula>0</formula>
    </cfRule>
  </conditionalFormatting>
  <conditionalFormatting sqref="D301:D302">
    <cfRule type="cellIs" priority="277" dxfId="6" operator="equal">
      <formula>0</formula>
    </cfRule>
  </conditionalFormatting>
  <conditionalFormatting sqref="D301:D302">
    <cfRule type="cellIs" priority="276" dxfId="1025" operator="notEqual">
      <formula>0</formula>
    </cfRule>
  </conditionalFormatting>
  <conditionalFormatting sqref="E301:E302">
    <cfRule type="cellIs" priority="275" dxfId="6" operator="equal">
      <formula>0</formula>
    </cfRule>
  </conditionalFormatting>
  <conditionalFormatting sqref="E301:E302">
    <cfRule type="cellIs" priority="274" dxfId="1025" operator="notEqual">
      <formula>0</formula>
    </cfRule>
  </conditionalFormatting>
  <conditionalFormatting sqref="F301:F302">
    <cfRule type="cellIs" priority="273" dxfId="6" operator="equal">
      <formula>0</formula>
    </cfRule>
  </conditionalFormatting>
  <conditionalFormatting sqref="F301:F302">
    <cfRule type="cellIs" priority="272" dxfId="1025" operator="notEqual">
      <formula>0</formula>
    </cfRule>
  </conditionalFormatting>
  <conditionalFormatting sqref="D303:D304">
    <cfRule type="cellIs" priority="271" dxfId="6" operator="equal">
      <formula>0</formula>
    </cfRule>
  </conditionalFormatting>
  <conditionalFormatting sqref="D303:D304">
    <cfRule type="cellIs" priority="270" dxfId="1025" operator="notEqual">
      <formula>0</formula>
    </cfRule>
  </conditionalFormatting>
  <conditionalFormatting sqref="E303:E304">
    <cfRule type="cellIs" priority="269" dxfId="6" operator="equal">
      <formula>0</formula>
    </cfRule>
  </conditionalFormatting>
  <conditionalFormatting sqref="E303:E304">
    <cfRule type="cellIs" priority="268" dxfId="1025" operator="notEqual">
      <formula>0</formula>
    </cfRule>
  </conditionalFormatting>
  <conditionalFormatting sqref="F303:F304">
    <cfRule type="cellIs" priority="267" dxfId="6" operator="equal">
      <formula>0</formula>
    </cfRule>
  </conditionalFormatting>
  <conditionalFormatting sqref="F303:F304">
    <cfRule type="cellIs" priority="266" dxfId="1025" operator="notEqual">
      <formula>0</formula>
    </cfRule>
  </conditionalFormatting>
  <conditionalFormatting sqref="D305:D306">
    <cfRule type="cellIs" priority="265" dxfId="6" operator="equal">
      <formula>0</formula>
    </cfRule>
  </conditionalFormatting>
  <conditionalFormatting sqref="D305:D306">
    <cfRule type="cellIs" priority="264" dxfId="1025" operator="notEqual">
      <formula>0</formula>
    </cfRule>
  </conditionalFormatting>
  <conditionalFormatting sqref="E305:E306">
    <cfRule type="cellIs" priority="263" dxfId="6" operator="equal">
      <formula>0</formula>
    </cfRule>
  </conditionalFormatting>
  <conditionalFormatting sqref="E305:E306">
    <cfRule type="cellIs" priority="262" dxfId="1025" operator="notEqual">
      <formula>0</formula>
    </cfRule>
  </conditionalFormatting>
  <conditionalFormatting sqref="F305:F306">
    <cfRule type="cellIs" priority="261" dxfId="6" operator="equal">
      <formula>0</formula>
    </cfRule>
  </conditionalFormatting>
  <conditionalFormatting sqref="F305:F306">
    <cfRule type="cellIs" priority="260" dxfId="1025" operator="notEqual">
      <formula>0</formula>
    </cfRule>
  </conditionalFormatting>
  <conditionalFormatting sqref="D313:D314">
    <cfRule type="cellIs" priority="259" dxfId="6" operator="equal">
      <formula>0</formula>
    </cfRule>
  </conditionalFormatting>
  <conditionalFormatting sqref="D313:D314">
    <cfRule type="cellIs" priority="258" dxfId="1025" operator="notEqual">
      <formula>0</formula>
    </cfRule>
  </conditionalFormatting>
  <conditionalFormatting sqref="E313:E314">
    <cfRule type="cellIs" priority="257" dxfId="6" operator="equal">
      <formula>0</formula>
    </cfRule>
  </conditionalFormatting>
  <conditionalFormatting sqref="E313:E314">
    <cfRule type="cellIs" priority="256" dxfId="1025" operator="notEqual">
      <formula>0</formula>
    </cfRule>
  </conditionalFormatting>
  <conditionalFormatting sqref="F313:F314">
    <cfRule type="cellIs" priority="255" dxfId="6" operator="equal">
      <formula>0</formula>
    </cfRule>
  </conditionalFormatting>
  <conditionalFormatting sqref="F313:F314">
    <cfRule type="cellIs" priority="254" dxfId="1025" operator="notEqual">
      <formula>0</formula>
    </cfRule>
  </conditionalFormatting>
  <conditionalFormatting sqref="D315:D316">
    <cfRule type="cellIs" priority="253" dxfId="6" operator="equal">
      <formula>0</formula>
    </cfRule>
  </conditionalFormatting>
  <conditionalFormatting sqref="D315:D316">
    <cfRule type="cellIs" priority="252" dxfId="1025" operator="notEqual">
      <formula>0</formula>
    </cfRule>
  </conditionalFormatting>
  <conditionalFormatting sqref="E315:E316">
    <cfRule type="cellIs" priority="251" dxfId="6" operator="equal">
      <formula>0</formula>
    </cfRule>
  </conditionalFormatting>
  <conditionalFormatting sqref="E315:E316">
    <cfRule type="cellIs" priority="250" dxfId="1025" operator="notEqual">
      <formula>0</formula>
    </cfRule>
  </conditionalFormatting>
  <conditionalFormatting sqref="F315:F316">
    <cfRule type="cellIs" priority="249" dxfId="6" operator="equal">
      <formula>0</formula>
    </cfRule>
  </conditionalFormatting>
  <conditionalFormatting sqref="F315:F316">
    <cfRule type="cellIs" priority="248" dxfId="1025" operator="notEqual">
      <formula>0</formula>
    </cfRule>
  </conditionalFormatting>
  <conditionalFormatting sqref="D317:D318">
    <cfRule type="cellIs" priority="247" dxfId="6" operator="equal">
      <formula>0</formula>
    </cfRule>
  </conditionalFormatting>
  <conditionalFormatting sqref="D317:D318">
    <cfRule type="cellIs" priority="246" dxfId="1025" operator="notEqual">
      <formula>0</formula>
    </cfRule>
  </conditionalFormatting>
  <conditionalFormatting sqref="E317:E318">
    <cfRule type="cellIs" priority="245" dxfId="6" operator="equal">
      <formula>0</formula>
    </cfRule>
  </conditionalFormatting>
  <conditionalFormatting sqref="E317:E318">
    <cfRule type="cellIs" priority="244" dxfId="1025" operator="notEqual">
      <formula>0</formula>
    </cfRule>
  </conditionalFormatting>
  <conditionalFormatting sqref="F317:F318">
    <cfRule type="cellIs" priority="243" dxfId="6" operator="equal">
      <formula>0</formula>
    </cfRule>
  </conditionalFormatting>
  <conditionalFormatting sqref="F317:F318">
    <cfRule type="cellIs" priority="242" dxfId="1025" operator="notEqual">
      <formula>0</formula>
    </cfRule>
  </conditionalFormatting>
  <conditionalFormatting sqref="D262:F262">
    <cfRule type="cellIs" priority="239" dxfId="3" operator="equal">
      <formula>0</formula>
    </cfRule>
  </conditionalFormatting>
  <conditionalFormatting sqref="D261:F261">
    <cfRule type="cellIs" priority="238" dxfId="3" operator="equal">
      <formula>0</formula>
    </cfRule>
  </conditionalFormatting>
  <conditionalFormatting sqref="C262">
    <cfRule type="cellIs" priority="237" dxfId="2" operator="equal">
      <formula>0</formula>
    </cfRule>
  </conditionalFormatting>
  <conditionalFormatting sqref="D260:F260">
    <cfRule type="cellIs" priority="235" dxfId="0" operator="equal">
      <formula>0</formula>
    </cfRule>
  </conditionalFormatting>
  <conditionalFormatting sqref="D259:F259">
    <cfRule type="cellIs" priority="236" dxfId="0" operator="equal">
      <formula>0</formula>
    </cfRule>
  </conditionalFormatting>
  <conditionalFormatting sqref="D312:F312">
    <cfRule type="cellIs" priority="234" dxfId="87" operator="equal">
      <formula>0</formula>
    </cfRule>
  </conditionalFormatting>
  <conditionalFormatting sqref="D311:F311">
    <cfRule type="cellIs" priority="233" dxfId="87" operator="equal">
      <formula>0</formula>
    </cfRule>
  </conditionalFormatting>
  <conditionalFormatting sqref="D310:F310">
    <cfRule type="cellIs" priority="232" dxfId="3" operator="equal">
      <formula>0</formula>
    </cfRule>
  </conditionalFormatting>
  <conditionalFormatting sqref="D309:F309">
    <cfRule type="cellIs" priority="231" dxfId="3" operator="equal">
      <formula>0</formula>
    </cfRule>
  </conditionalFormatting>
  <conditionalFormatting sqref="C310">
    <cfRule type="cellIs" priority="230" dxfId="2" operator="equal">
      <formula>0</formula>
    </cfRule>
  </conditionalFormatting>
  <conditionalFormatting sqref="D308:F308">
    <cfRule type="cellIs" priority="228" dxfId="0" operator="equal">
      <formula>0</formula>
    </cfRule>
  </conditionalFormatting>
  <conditionalFormatting sqref="D307:F307">
    <cfRule type="cellIs" priority="229" dxfId="0" operator="equal">
      <formula>0</formula>
    </cfRule>
  </conditionalFormatting>
  <conditionalFormatting sqref="D320:F320">
    <cfRule type="cellIs" priority="227" dxfId="87" operator="equal">
      <formula>0</formula>
    </cfRule>
  </conditionalFormatting>
  <conditionalFormatting sqref="D319:F319">
    <cfRule type="cellIs" priority="226" dxfId="87" operator="equal">
      <formula>0</formula>
    </cfRule>
  </conditionalFormatting>
  <conditionalFormatting sqref="D321:D322">
    <cfRule type="cellIs" priority="225" dxfId="6" operator="equal">
      <formula>0</formula>
    </cfRule>
  </conditionalFormatting>
  <conditionalFormatting sqref="D321:D322">
    <cfRule type="cellIs" priority="224" dxfId="1025" operator="notEqual">
      <formula>0</formula>
    </cfRule>
  </conditionalFormatting>
  <conditionalFormatting sqref="E321:E322">
    <cfRule type="cellIs" priority="223" dxfId="6" operator="equal">
      <formula>0</formula>
    </cfRule>
  </conditionalFormatting>
  <conditionalFormatting sqref="E321:E322">
    <cfRule type="cellIs" priority="222" dxfId="1025" operator="notEqual">
      <formula>0</formula>
    </cfRule>
  </conditionalFormatting>
  <conditionalFormatting sqref="F321:F322">
    <cfRule type="cellIs" priority="221" dxfId="6" operator="equal">
      <formula>0</formula>
    </cfRule>
  </conditionalFormatting>
  <conditionalFormatting sqref="F321:F322">
    <cfRule type="cellIs" priority="220" dxfId="1025" operator="notEqual">
      <formula>0</formula>
    </cfRule>
  </conditionalFormatting>
  <conditionalFormatting sqref="D323:D324">
    <cfRule type="cellIs" priority="219" dxfId="6" operator="equal">
      <formula>0</formula>
    </cfRule>
  </conditionalFormatting>
  <conditionalFormatting sqref="D323:D324">
    <cfRule type="cellIs" priority="218" dxfId="1025" operator="notEqual">
      <formula>0</formula>
    </cfRule>
  </conditionalFormatting>
  <conditionalFormatting sqref="E323:E324">
    <cfRule type="cellIs" priority="217" dxfId="6" operator="equal">
      <formula>0</formula>
    </cfRule>
  </conditionalFormatting>
  <conditionalFormatting sqref="E323:E324">
    <cfRule type="cellIs" priority="216" dxfId="1025" operator="notEqual">
      <formula>0</formula>
    </cfRule>
  </conditionalFormatting>
  <conditionalFormatting sqref="F323:F324">
    <cfRule type="cellIs" priority="215" dxfId="6" operator="equal">
      <formula>0</formula>
    </cfRule>
  </conditionalFormatting>
  <conditionalFormatting sqref="F323:F324">
    <cfRule type="cellIs" priority="214" dxfId="1025" operator="notEqual">
      <formula>0</formula>
    </cfRule>
  </conditionalFormatting>
  <conditionalFormatting sqref="D325:D326">
    <cfRule type="cellIs" priority="213" dxfId="6" operator="equal">
      <formula>0</formula>
    </cfRule>
  </conditionalFormatting>
  <conditionalFormatting sqref="D325:D326">
    <cfRule type="cellIs" priority="212" dxfId="1025" operator="notEqual">
      <formula>0</formula>
    </cfRule>
  </conditionalFormatting>
  <conditionalFormatting sqref="E325:E326">
    <cfRule type="cellIs" priority="211" dxfId="6" operator="equal">
      <formula>0</formula>
    </cfRule>
  </conditionalFormatting>
  <conditionalFormatting sqref="E325:E326">
    <cfRule type="cellIs" priority="210" dxfId="1025" operator="notEqual">
      <formula>0</formula>
    </cfRule>
  </conditionalFormatting>
  <conditionalFormatting sqref="F325:F326">
    <cfRule type="cellIs" priority="209" dxfId="6" operator="equal">
      <formula>0</formula>
    </cfRule>
  </conditionalFormatting>
  <conditionalFormatting sqref="F325:F326">
    <cfRule type="cellIs" priority="208" dxfId="1025" operator="notEqual">
      <formula>0</formula>
    </cfRule>
  </conditionalFormatting>
  <conditionalFormatting sqref="D327:D328">
    <cfRule type="cellIs" priority="207" dxfId="6" operator="equal">
      <formula>0</formula>
    </cfRule>
  </conditionalFormatting>
  <conditionalFormatting sqref="D327:D328">
    <cfRule type="cellIs" priority="206" dxfId="1025" operator="notEqual">
      <formula>0</formula>
    </cfRule>
  </conditionalFormatting>
  <conditionalFormatting sqref="E327:E328">
    <cfRule type="cellIs" priority="205" dxfId="6" operator="equal">
      <formula>0</formula>
    </cfRule>
  </conditionalFormatting>
  <conditionalFormatting sqref="E327:E328">
    <cfRule type="cellIs" priority="204" dxfId="1025" operator="notEqual">
      <formula>0</formula>
    </cfRule>
  </conditionalFormatting>
  <conditionalFormatting sqref="F327:F328">
    <cfRule type="cellIs" priority="203" dxfId="6" operator="equal">
      <formula>0</formula>
    </cfRule>
  </conditionalFormatting>
  <conditionalFormatting sqref="F327:F328">
    <cfRule type="cellIs" priority="202" dxfId="1025" operator="notEqual">
      <formula>0</formula>
    </cfRule>
  </conditionalFormatting>
  <conditionalFormatting sqref="D329:D330">
    <cfRule type="cellIs" priority="201" dxfId="6" operator="equal">
      <formula>0</formula>
    </cfRule>
  </conditionalFormatting>
  <conditionalFormatting sqref="D329:D330">
    <cfRule type="cellIs" priority="200" dxfId="1025" operator="notEqual">
      <formula>0</formula>
    </cfRule>
  </conditionalFormatting>
  <conditionalFormatting sqref="E329:E330">
    <cfRule type="cellIs" priority="199" dxfId="6" operator="equal">
      <formula>0</formula>
    </cfRule>
  </conditionalFormatting>
  <conditionalFormatting sqref="E329:E330">
    <cfRule type="cellIs" priority="198" dxfId="1025" operator="notEqual">
      <formula>0</formula>
    </cfRule>
  </conditionalFormatting>
  <conditionalFormatting sqref="F329:F330">
    <cfRule type="cellIs" priority="197" dxfId="6" operator="equal">
      <formula>0</formula>
    </cfRule>
  </conditionalFormatting>
  <conditionalFormatting sqref="F329:F330">
    <cfRule type="cellIs" priority="196" dxfId="1025" operator="notEqual">
      <formula>0</formula>
    </cfRule>
  </conditionalFormatting>
  <conditionalFormatting sqref="D331:D332">
    <cfRule type="cellIs" priority="195" dxfId="6" operator="equal">
      <formula>0</formula>
    </cfRule>
  </conditionalFormatting>
  <conditionalFormatting sqref="D331:D332">
    <cfRule type="cellIs" priority="194" dxfId="1025" operator="notEqual">
      <formula>0</formula>
    </cfRule>
  </conditionalFormatting>
  <conditionalFormatting sqref="E331:E332">
    <cfRule type="cellIs" priority="193" dxfId="6" operator="equal">
      <formula>0</formula>
    </cfRule>
  </conditionalFormatting>
  <conditionalFormatting sqref="E331:E332">
    <cfRule type="cellIs" priority="192" dxfId="1025" operator="notEqual">
      <formula>0</formula>
    </cfRule>
  </conditionalFormatting>
  <conditionalFormatting sqref="F331:F332">
    <cfRule type="cellIs" priority="191" dxfId="6" operator="equal">
      <formula>0</formula>
    </cfRule>
  </conditionalFormatting>
  <conditionalFormatting sqref="F331:F332">
    <cfRule type="cellIs" priority="190" dxfId="1025" operator="notEqual">
      <formula>0</formula>
    </cfRule>
  </conditionalFormatting>
  <conditionalFormatting sqref="D333:D334">
    <cfRule type="cellIs" priority="189" dxfId="6" operator="equal">
      <formula>0</formula>
    </cfRule>
  </conditionalFormatting>
  <conditionalFormatting sqref="D333:D334">
    <cfRule type="cellIs" priority="188" dxfId="1025" operator="notEqual">
      <formula>0</formula>
    </cfRule>
  </conditionalFormatting>
  <conditionalFormatting sqref="E333:E334">
    <cfRule type="cellIs" priority="187" dxfId="6" operator="equal">
      <formula>0</formula>
    </cfRule>
  </conditionalFormatting>
  <conditionalFormatting sqref="E333:E334">
    <cfRule type="cellIs" priority="186" dxfId="1025" operator="notEqual">
      <formula>0</formula>
    </cfRule>
  </conditionalFormatting>
  <conditionalFormatting sqref="F333:F334">
    <cfRule type="cellIs" priority="185" dxfId="6" operator="equal">
      <formula>0</formula>
    </cfRule>
  </conditionalFormatting>
  <conditionalFormatting sqref="F333:F334">
    <cfRule type="cellIs" priority="184" dxfId="1025" operator="notEqual">
      <formula>0</formula>
    </cfRule>
  </conditionalFormatting>
  <conditionalFormatting sqref="D338:F338">
    <cfRule type="cellIs" priority="183" dxfId="87" operator="equal">
      <formula>0</formula>
    </cfRule>
  </conditionalFormatting>
  <conditionalFormatting sqref="D337:F337">
    <cfRule type="cellIs" priority="182" dxfId="87" operator="equal">
      <formula>0</formula>
    </cfRule>
  </conditionalFormatting>
  <conditionalFormatting sqref="D336:F336">
    <cfRule type="cellIs" priority="181" dxfId="3" operator="equal">
      <formula>0</formula>
    </cfRule>
  </conditionalFormatting>
  <conditionalFormatting sqref="D335:F335">
    <cfRule type="cellIs" priority="180" dxfId="3" operator="equal">
      <formula>0</formula>
    </cfRule>
  </conditionalFormatting>
  <conditionalFormatting sqref="C336">
    <cfRule type="cellIs" priority="179" dxfId="2" operator="equal">
      <formula>0</formula>
    </cfRule>
  </conditionalFormatting>
  <conditionalFormatting sqref="D349:D350">
    <cfRule type="cellIs" priority="178" dxfId="6" operator="equal">
      <formula>0</formula>
    </cfRule>
  </conditionalFormatting>
  <conditionalFormatting sqref="D349:D350">
    <cfRule type="cellIs" priority="177" dxfId="1025" operator="notEqual">
      <formula>0</formula>
    </cfRule>
  </conditionalFormatting>
  <conditionalFormatting sqref="E349:E350">
    <cfRule type="cellIs" priority="176" dxfId="6" operator="equal">
      <formula>0</formula>
    </cfRule>
  </conditionalFormatting>
  <conditionalFormatting sqref="E349:E350">
    <cfRule type="cellIs" priority="175" dxfId="1025" operator="notEqual">
      <formula>0</formula>
    </cfRule>
  </conditionalFormatting>
  <conditionalFormatting sqref="F349:F350">
    <cfRule type="cellIs" priority="174" dxfId="6" operator="equal">
      <formula>0</formula>
    </cfRule>
  </conditionalFormatting>
  <conditionalFormatting sqref="F349:F350">
    <cfRule type="cellIs" priority="173" dxfId="1025" operator="notEqual">
      <formula>0</formula>
    </cfRule>
  </conditionalFormatting>
  <conditionalFormatting sqref="D351:D352">
    <cfRule type="cellIs" priority="172" dxfId="6" operator="equal">
      <formula>0</formula>
    </cfRule>
  </conditionalFormatting>
  <conditionalFormatting sqref="D351:D352">
    <cfRule type="cellIs" priority="171" dxfId="1025" operator="notEqual">
      <formula>0</formula>
    </cfRule>
  </conditionalFormatting>
  <conditionalFormatting sqref="E351:E352">
    <cfRule type="cellIs" priority="170" dxfId="6" operator="equal">
      <formula>0</formula>
    </cfRule>
  </conditionalFormatting>
  <conditionalFormatting sqref="E351:E352">
    <cfRule type="cellIs" priority="169" dxfId="1025" operator="notEqual">
      <formula>0</formula>
    </cfRule>
  </conditionalFormatting>
  <conditionalFormatting sqref="F351:F352">
    <cfRule type="cellIs" priority="168" dxfId="6" operator="equal">
      <formula>0</formula>
    </cfRule>
  </conditionalFormatting>
  <conditionalFormatting sqref="F351:F352">
    <cfRule type="cellIs" priority="167" dxfId="1025" operator="notEqual">
      <formula>0</formula>
    </cfRule>
  </conditionalFormatting>
  <conditionalFormatting sqref="D353:D354">
    <cfRule type="cellIs" priority="166" dxfId="6" operator="equal">
      <formula>0</formula>
    </cfRule>
  </conditionalFormatting>
  <conditionalFormatting sqref="D353:D354">
    <cfRule type="cellIs" priority="165" dxfId="1025" operator="notEqual">
      <formula>0</formula>
    </cfRule>
  </conditionalFormatting>
  <conditionalFormatting sqref="E353:E354">
    <cfRule type="cellIs" priority="164" dxfId="6" operator="equal">
      <formula>0</formula>
    </cfRule>
  </conditionalFormatting>
  <conditionalFormatting sqref="E353:E354">
    <cfRule type="cellIs" priority="163" dxfId="1025" operator="notEqual">
      <formula>0</formula>
    </cfRule>
  </conditionalFormatting>
  <conditionalFormatting sqref="F353:F354">
    <cfRule type="cellIs" priority="162" dxfId="6" operator="equal">
      <formula>0</formula>
    </cfRule>
  </conditionalFormatting>
  <conditionalFormatting sqref="F353:F354">
    <cfRule type="cellIs" priority="161" dxfId="1025" operator="notEqual">
      <formula>0</formula>
    </cfRule>
  </conditionalFormatting>
  <conditionalFormatting sqref="D355:D356">
    <cfRule type="cellIs" priority="160" dxfId="6" operator="equal">
      <formula>0</formula>
    </cfRule>
  </conditionalFormatting>
  <conditionalFormatting sqref="D355:D356">
    <cfRule type="cellIs" priority="159" dxfId="1025" operator="notEqual">
      <formula>0</formula>
    </cfRule>
  </conditionalFormatting>
  <conditionalFormatting sqref="E355:E356">
    <cfRule type="cellIs" priority="158" dxfId="6" operator="equal">
      <formula>0</formula>
    </cfRule>
  </conditionalFormatting>
  <conditionalFormatting sqref="E355:E356">
    <cfRule type="cellIs" priority="157" dxfId="1025" operator="notEqual">
      <formula>0</formula>
    </cfRule>
  </conditionalFormatting>
  <conditionalFormatting sqref="F355:F356">
    <cfRule type="cellIs" priority="156" dxfId="6" operator="equal">
      <formula>0</formula>
    </cfRule>
  </conditionalFormatting>
  <conditionalFormatting sqref="F355:F356">
    <cfRule type="cellIs" priority="155" dxfId="1025" operator="notEqual">
      <formula>0</formula>
    </cfRule>
  </conditionalFormatting>
  <conditionalFormatting sqref="D339:D340">
    <cfRule type="cellIs" priority="150" dxfId="6" operator="equal">
      <formula>0</formula>
    </cfRule>
  </conditionalFormatting>
  <conditionalFormatting sqref="D339:D340">
    <cfRule type="cellIs" priority="149" dxfId="1025" operator="notEqual">
      <formula>0</formula>
    </cfRule>
  </conditionalFormatting>
  <conditionalFormatting sqref="E339:E340">
    <cfRule type="cellIs" priority="148" dxfId="6" operator="equal">
      <formula>0</formula>
    </cfRule>
  </conditionalFormatting>
  <conditionalFormatting sqref="E339:E340">
    <cfRule type="cellIs" priority="147" dxfId="1025" operator="notEqual">
      <formula>0</formula>
    </cfRule>
  </conditionalFormatting>
  <conditionalFormatting sqref="F339:F340">
    <cfRule type="cellIs" priority="146" dxfId="6" operator="equal">
      <formula>0</formula>
    </cfRule>
  </conditionalFormatting>
  <conditionalFormatting sqref="F339:F340">
    <cfRule type="cellIs" priority="145" dxfId="1025" operator="notEqual">
      <formula>0</formula>
    </cfRule>
  </conditionalFormatting>
  <conditionalFormatting sqref="D341:D342">
    <cfRule type="cellIs" priority="144" dxfId="6" operator="equal">
      <formula>0</formula>
    </cfRule>
  </conditionalFormatting>
  <conditionalFormatting sqref="D341:D342">
    <cfRule type="cellIs" priority="143" dxfId="1025" operator="notEqual">
      <formula>0</formula>
    </cfRule>
  </conditionalFormatting>
  <conditionalFormatting sqref="E341:E342">
    <cfRule type="cellIs" priority="142" dxfId="6" operator="equal">
      <formula>0</formula>
    </cfRule>
  </conditionalFormatting>
  <conditionalFormatting sqref="E341:E342">
    <cfRule type="cellIs" priority="141" dxfId="1025" operator="notEqual">
      <formula>0</formula>
    </cfRule>
  </conditionalFormatting>
  <conditionalFormatting sqref="F341:F342">
    <cfRule type="cellIs" priority="140" dxfId="6" operator="equal">
      <formula>0</formula>
    </cfRule>
  </conditionalFormatting>
  <conditionalFormatting sqref="F341:F342">
    <cfRule type="cellIs" priority="139" dxfId="1025" operator="notEqual">
      <formula>0</formula>
    </cfRule>
  </conditionalFormatting>
  <conditionalFormatting sqref="D343:D344">
    <cfRule type="cellIs" priority="138" dxfId="6" operator="equal">
      <formula>0</formula>
    </cfRule>
  </conditionalFormatting>
  <conditionalFormatting sqref="D343:D344">
    <cfRule type="cellIs" priority="137" dxfId="1025" operator="notEqual">
      <formula>0</formula>
    </cfRule>
  </conditionalFormatting>
  <conditionalFormatting sqref="E343:E344">
    <cfRule type="cellIs" priority="136" dxfId="6" operator="equal">
      <formula>0</formula>
    </cfRule>
  </conditionalFormatting>
  <conditionalFormatting sqref="E343:E344">
    <cfRule type="cellIs" priority="135" dxfId="1025" operator="notEqual">
      <formula>0</formula>
    </cfRule>
  </conditionalFormatting>
  <conditionalFormatting sqref="F343:F344">
    <cfRule type="cellIs" priority="134" dxfId="6" operator="equal">
      <formula>0</formula>
    </cfRule>
  </conditionalFormatting>
  <conditionalFormatting sqref="F343:F344">
    <cfRule type="cellIs" priority="133" dxfId="1025" operator="notEqual">
      <formula>0</formula>
    </cfRule>
  </conditionalFormatting>
  <conditionalFormatting sqref="D345:D346">
    <cfRule type="cellIs" priority="132" dxfId="6" operator="equal">
      <formula>0</formula>
    </cfRule>
  </conditionalFormatting>
  <conditionalFormatting sqref="D345:D346">
    <cfRule type="cellIs" priority="131" dxfId="1025" operator="notEqual">
      <formula>0</formula>
    </cfRule>
  </conditionalFormatting>
  <conditionalFormatting sqref="E345:E346">
    <cfRule type="cellIs" priority="130" dxfId="6" operator="equal">
      <formula>0</formula>
    </cfRule>
  </conditionalFormatting>
  <conditionalFormatting sqref="E345:E346">
    <cfRule type="cellIs" priority="129" dxfId="1025" operator="notEqual">
      <formula>0</formula>
    </cfRule>
  </conditionalFormatting>
  <conditionalFormatting sqref="F345:F346">
    <cfRule type="cellIs" priority="128" dxfId="6" operator="equal">
      <formula>0</formula>
    </cfRule>
  </conditionalFormatting>
  <conditionalFormatting sqref="F345:F346">
    <cfRule type="cellIs" priority="127" dxfId="1025" operator="notEqual">
      <formula>0</formula>
    </cfRule>
  </conditionalFormatting>
  <conditionalFormatting sqref="D348:F348">
    <cfRule type="cellIs" priority="126" dxfId="87" operator="equal">
      <formula>0</formula>
    </cfRule>
  </conditionalFormatting>
  <conditionalFormatting sqref="D347:F347">
    <cfRule type="cellIs" priority="125" dxfId="87" operator="equal">
      <formula>0</formula>
    </cfRule>
  </conditionalFormatting>
  <conditionalFormatting sqref="D360:F360">
    <cfRule type="cellIs" priority="124" dxfId="87" operator="equal">
      <formula>0</formula>
    </cfRule>
  </conditionalFormatting>
  <conditionalFormatting sqref="D359:F359">
    <cfRule type="cellIs" priority="123" dxfId="87" operator="equal">
      <formula>0</formula>
    </cfRule>
  </conditionalFormatting>
  <conditionalFormatting sqref="D358:F358">
    <cfRule type="cellIs" priority="122" dxfId="3" operator="equal">
      <formula>0</formula>
    </cfRule>
  </conditionalFormatting>
  <conditionalFormatting sqref="D357:F357">
    <cfRule type="cellIs" priority="121" dxfId="3" operator="equal">
      <formula>0</formula>
    </cfRule>
  </conditionalFormatting>
  <conditionalFormatting sqref="C358">
    <cfRule type="cellIs" priority="120" dxfId="2" operator="equal">
      <formula>0</formula>
    </cfRule>
  </conditionalFormatting>
  <conditionalFormatting sqref="D361:D374">
    <cfRule type="cellIs" priority="119" dxfId="6" operator="equal">
      <formula>0</formula>
    </cfRule>
  </conditionalFormatting>
  <conditionalFormatting sqref="D361:D374">
    <cfRule type="cellIs" priority="118" dxfId="1025" operator="notEqual">
      <formula>0</formula>
    </cfRule>
  </conditionalFormatting>
  <conditionalFormatting sqref="E361:E374">
    <cfRule type="cellIs" priority="117" dxfId="6" operator="equal">
      <formula>0</formula>
    </cfRule>
  </conditionalFormatting>
  <conditionalFormatting sqref="E361:E374">
    <cfRule type="cellIs" priority="116" dxfId="1025" operator="notEqual">
      <formula>0</formula>
    </cfRule>
  </conditionalFormatting>
  <conditionalFormatting sqref="F361:F374">
    <cfRule type="cellIs" priority="115" dxfId="6" operator="equal">
      <formula>0</formula>
    </cfRule>
  </conditionalFormatting>
  <conditionalFormatting sqref="F361:F374">
    <cfRule type="cellIs" priority="114" dxfId="1025" operator="notEqual">
      <formula>0</formula>
    </cfRule>
  </conditionalFormatting>
  <conditionalFormatting sqref="D378:F378">
    <cfRule type="cellIs" priority="113" dxfId="87" operator="equal">
      <formula>0</formula>
    </cfRule>
  </conditionalFormatting>
  <conditionalFormatting sqref="D377:F377">
    <cfRule type="cellIs" priority="112" dxfId="87" operator="equal">
      <formula>0</formula>
    </cfRule>
  </conditionalFormatting>
  <conditionalFormatting sqref="D376:F376">
    <cfRule type="cellIs" priority="111" dxfId="3" operator="equal">
      <formula>0</formula>
    </cfRule>
  </conditionalFormatting>
  <conditionalFormatting sqref="D375:F375">
    <cfRule type="cellIs" priority="110" dxfId="3" operator="equal">
      <formula>0</formula>
    </cfRule>
  </conditionalFormatting>
  <conditionalFormatting sqref="C376">
    <cfRule type="cellIs" priority="109" dxfId="2" operator="equal">
      <formula>0</formula>
    </cfRule>
  </conditionalFormatting>
  <conditionalFormatting sqref="D379:D390">
    <cfRule type="cellIs" priority="108" dxfId="6" operator="equal">
      <formula>0</formula>
    </cfRule>
  </conditionalFormatting>
  <conditionalFormatting sqref="D379:D390">
    <cfRule type="cellIs" priority="107" dxfId="1025" operator="notEqual">
      <formula>0</formula>
    </cfRule>
  </conditionalFormatting>
  <conditionalFormatting sqref="E379:E390">
    <cfRule type="cellIs" priority="106" dxfId="6" operator="equal">
      <formula>0</formula>
    </cfRule>
  </conditionalFormatting>
  <conditionalFormatting sqref="E379:E390">
    <cfRule type="cellIs" priority="105" dxfId="1025" operator="notEqual">
      <formula>0</formula>
    </cfRule>
  </conditionalFormatting>
  <conditionalFormatting sqref="F379:F390">
    <cfRule type="cellIs" priority="104" dxfId="6" operator="equal">
      <formula>0</formula>
    </cfRule>
  </conditionalFormatting>
  <conditionalFormatting sqref="F379:F390">
    <cfRule type="cellIs" priority="103" dxfId="1025" operator="notEqual">
      <formula>0</formula>
    </cfRule>
  </conditionalFormatting>
  <conditionalFormatting sqref="D397:D408">
    <cfRule type="cellIs" priority="102" dxfId="6" operator="equal">
      <formula>0</formula>
    </cfRule>
  </conditionalFormatting>
  <conditionalFormatting sqref="D397:D408">
    <cfRule type="cellIs" priority="101" dxfId="1025" operator="notEqual">
      <formula>0</formula>
    </cfRule>
  </conditionalFormatting>
  <conditionalFormatting sqref="E397:E408">
    <cfRule type="cellIs" priority="100" dxfId="6" operator="equal">
      <formula>0</formula>
    </cfRule>
  </conditionalFormatting>
  <conditionalFormatting sqref="E397:E408">
    <cfRule type="cellIs" priority="99" dxfId="1025" operator="notEqual">
      <formula>0</formula>
    </cfRule>
  </conditionalFormatting>
  <conditionalFormatting sqref="F397:F408">
    <cfRule type="cellIs" priority="98" dxfId="6" operator="equal">
      <formula>0</formula>
    </cfRule>
  </conditionalFormatting>
  <conditionalFormatting sqref="F397:F408">
    <cfRule type="cellIs" priority="97" dxfId="1025" operator="notEqual">
      <formula>0</formula>
    </cfRule>
  </conditionalFormatting>
  <conditionalFormatting sqref="D396:F396">
    <cfRule type="cellIs" priority="96" dxfId="87" operator="equal">
      <formula>0</formula>
    </cfRule>
  </conditionalFormatting>
  <conditionalFormatting sqref="D395:F395">
    <cfRule type="cellIs" priority="95" dxfId="87" operator="equal">
      <formula>0</formula>
    </cfRule>
  </conditionalFormatting>
  <conditionalFormatting sqref="D394:F394">
    <cfRule type="cellIs" priority="94" dxfId="3" operator="equal">
      <formula>0</formula>
    </cfRule>
  </conditionalFormatting>
  <conditionalFormatting sqref="D393:F393">
    <cfRule type="cellIs" priority="93" dxfId="3" operator="equal">
      <formula>0</formula>
    </cfRule>
  </conditionalFormatting>
  <conditionalFormatting sqref="C394">
    <cfRule type="cellIs" priority="92" dxfId="2" operator="equal">
      <formula>0</formula>
    </cfRule>
  </conditionalFormatting>
  <conditionalFormatting sqref="D392:F392">
    <cfRule type="cellIs" priority="90" dxfId="0" operator="equal">
      <formula>0</formula>
    </cfRule>
  </conditionalFormatting>
  <conditionalFormatting sqref="D391:F391">
    <cfRule type="cellIs" priority="91" dxfId="0" operator="equal">
      <formula>0</formula>
    </cfRule>
  </conditionalFormatting>
  <conditionalFormatting sqref="D414:F414">
    <cfRule type="cellIs" priority="89" dxfId="87" operator="equal">
      <formula>0</formula>
    </cfRule>
  </conditionalFormatting>
  <conditionalFormatting sqref="D413:F413">
    <cfRule type="cellIs" priority="88" dxfId="87" operator="equal">
      <formula>0</formula>
    </cfRule>
  </conditionalFormatting>
  <conditionalFormatting sqref="D412:F412">
    <cfRule type="cellIs" priority="87" dxfId="3" operator="equal">
      <formula>0</formula>
    </cfRule>
  </conditionalFormatting>
  <conditionalFormatting sqref="D411:F411">
    <cfRule type="cellIs" priority="86" dxfId="3" operator="equal">
      <formula>0</formula>
    </cfRule>
  </conditionalFormatting>
  <conditionalFormatting sqref="C412">
    <cfRule type="cellIs" priority="85" dxfId="2" operator="equal">
      <formula>0</formula>
    </cfRule>
  </conditionalFormatting>
  <conditionalFormatting sqref="D410:F410">
    <cfRule type="cellIs" priority="83" dxfId="0" operator="equal">
      <formula>0</formula>
    </cfRule>
  </conditionalFormatting>
  <conditionalFormatting sqref="D409:F409">
    <cfRule type="cellIs" priority="84" dxfId="0" operator="equal">
      <formula>0</formula>
    </cfRule>
  </conditionalFormatting>
  <conditionalFormatting sqref="D415:D416">
    <cfRule type="cellIs" priority="82" dxfId="6" operator="equal">
      <formula>0</formula>
    </cfRule>
  </conditionalFormatting>
  <conditionalFormatting sqref="D415:D416">
    <cfRule type="cellIs" priority="81" dxfId="1025" operator="notEqual">
      <formula>0</formula>
    </cfRule>
  </conditionalFormatting>
  <conditionalFormatting sqref="E415:E416">
    <cfRule type="cellIs" priority="80" dxfId="6" operator="equal">
      <formula>0</formula>
    </cfRule>
  </conditionalFormatting>
  <conditionalFormatting sqref="E415:E416">
    <cfRule type="cellIs" priority="79" dxfId="1025" operator="notEqual">
      <formula>0</formula>
    </cfRule>
  </conditionalFormatting>
  <conditionalFormatting sqref="F415:F416">
    <cfRule type="cellIs" priority="78" dxfId="6" operator="equal">
      <formula>0</formula>
    </cfRule>
  </conditionalFormatting>
  <conditionalFormatting sqref="F415:F416">
    <cfRule type="cellIs" priority="77" dxfId="1025" operator="notEqual">
      <formula>0</formula>
    </cfRule>
  </conditionalFormatting>
  <conditionalFormatting sqref="D421:D422">
    <cfRule type="cellIs" priority="76" dxfId="6" operator="equal">
      <formula>0</formula>
    </cfRule>
  </conditionalFormatting>
  <conditionalFormatting sqref="D421:D422">
    <cfRule type="cellIs" priority="75" dxfId="1025" operator="notEqual">
      <formula>0</formula>
    </cfRule>
  </conditionalFormatting>
  <conditionalFormatting sqref="E421:E422">
    <cfRule type="cellIs" priority="74" dxfId="6" operator="equal">
      <formula>0</formula>
    </cfRule>
  </conditionalFormatting>
  <conditionalFormatting sqref="E421:E422">
    <cfRule type="cellIs" priority="73" dxfId="1025" operator="notEqual">
      <formula>0</formula>
    </cfRule>
  </conditionalFormatting>
  <conditionalFormatting sqref="F421:F422">
    <cfRule type="cellIs" priority="72" dxfId="6" operator="equal">
      <formula>0</formula>
    </cfRule>
  </conditionalFormatting>
  <conditionalFormatting sqref="F421:F422">
    <cfRule type="cellIs" priority="71" dxfId="1025" operator="notEqual">
      <formula>0</formula>
    </cfRule>
  </conditionalFormatting>
  <conditionalFormatting sqref="D423:D424">
    <cfRule type="cellIs" priority="70" dxfId="6" operator="equal">
      <formula>0</formula>
    </cfRule>
  </conditionalFormatting>
  <conditionalFormatting sqref="D423:D424">
    <cfRule type="cellIs" priority="69" dxfId="1025" operator="notEqual">
      <formula>0</formula>
    </cfRule>
  </conditionalFormatting>
  <conditionalFormatting sqref="E423:E424">
    <cfRule type="cellIs" priority="68" dxfId="6" operator="equal">
      <formula>0</formula>
    </cfRule>
  </conditionalFormatting>
  <conditionalFormatting sqref="E423:E424">
    <cfRule type="cellIs" priority="67" dxfId="1025" operator="notEqual">
      <formula>0</formula>
    </cfRule>
  </conditionalFormatting>
  <conditionalFormatting sqref="F423:F424">
    <cfRule type="cellIs" priority="66" dxfId="6" operator="equal">
      <formula>0</formula>
    </cfRule>
  </conditionalFormatting>
  <conditionalFormatting sqref="F423:F424">
    <cfRule type="cellIs" priority="65" dxfId="1025" operator="notEqual">
      <formula>0</formula>
    </cfRule>
  </conditionalFormatting>
  <conditionalFormatting sqref="D425:D426">
    <cfRule type="cellIs" priority="64" dxfId="6" operator="equal">
      <formula>0</formula>
    </cfRule>
  </conditionalFormatting>
  <conditionalFormatting sqref="D425:D426">
    <cfRule type="cellIs" priority="63" dxfId="1025" operator="notEqual">
      <formula>0</formula>
    </cfRule>
  </conditionalFormatting>
  <conditionalFormatting sqref="E425:E426">
    <cfRule type="cellIs" priority="62" dxfId="6" operator="equal">
      <formula>0</formula>
    </cfRule>
  </conditionalFormatting>
  <conditionalFormatting sqref="E425:E426">
    <cfRule type="cellIs" priority="61" dxfId="1025" operator="notEqual">
      <formula>0</formula>
    </cfRule>
  </conditionalFormatting>
  <conditionalFormatting sqref="F425:F426">
    <cfRule type="cellIs" priority="60" dxfId="6" operator="equal">
      <formula>0</formula>
    </cfRule>
  </conditionalFormatting>
  <conditionalFormatting sqref="F425:F426">
    <cfRule type="cellIs" priority="59" dxfId="1025" operator="notEqual">
      <formula>0</formula>
    </cfRule>
  </conditionalFormatting>
  <conditionalFormatting sqref="D427:D428">
    <cfRule type="cellIs" priority="58" dxfId="6" operator="equal">
      <formula>0</formula>
    </cfRule>
  </conditionalFormatting>
  <conditionalFormatting sqref="D427:D428">
    <cfRule type="cellIs" priority="57" dxfId="1025" operator="notEqual">
      <formula>0</formula>
    </cfRule>
  </conditionalFormatting>
  <conditionalFormatting sqref="E427:E428">
    <cfRule type="cellIs" priority="56" dxfId="6" operator="equal">
      <formula>0</formula>
    </cfRule>
  </conditionalFormatting>
  <conditionalFormatting sqref="E427:E428">
    <cfRule type="cellIs" priority="55" dxfId="1025" operator="notEqual">
      <formula>0</formula>
    </cfRule>
  </conditionalFormatting>
  <conditionalFormatting sqref="F427:F428">
    <cfRule type="cellIs" priority="54" dxfId="6" operator="equal">
      <formula>0</formula>
    </cfRule>
  </conditionalFormatting>
  <conditionalFormatting sqref="F427:F428">
    <cfRule type="cellIs" priority="53" dxfId="1025" operator="notEqual">
      <formula>0</formula>
    </cfRule>
  </conditionalFormatting>
  <conditionalFormatting sqref="D429:D430">
    <cfRule type="cellIs" priority="52" dxfId="6" operator="equal">
      <formula>0</formula>
    </cfRule>
  </conditionalFormatting>
  <conditionalFormatting sqref="D429:D430">
    <cfRule type="cellIs" priority="51" dxfId="1025" operator="notEqual">
      <formula>0</formula>
    </cfRule>
  </conditionalFormatting>
  <conditionalFormatting sqref="E429:E430">
    <cfRule type="cellIs" priority="50" dxfId="6" operator="equal">
      <formula>0</formula>
    </cfRule>
  </conditionalFormatting>
  <conditionalFormatting sqref="E429:E430">
    <cfRule type="cellIs" priority="49" dxfId="1025" operator="notEqual">
      <formula>0</formula>
    </cfRule>
  </conditionalFormatting>
  <conditionalFormatting sqref="F429:F430">
    <cfRule type="cellIs" priority="48" dxfId="6" operator="equal">
      <formula>0</formula>
    </cfRule>
  </conditionalFormatting>
  <conditionalFormatting sqref="F429:F430">
    <cfRule type="cellIs" priority="47" dxfId="1025" operator="notEqual">
      <formula>0</formula>
    </cfRule>
  </conditionalFormatting>
  <conditionalFormatting sqref="D431:D432">
    <cfRule type="cellIs" priority="46" dxfId="6" operator="equal">
      <formula>0</formula>
    </cfRule>
  </conditionalFormatting>
  <conditionalFormatting sqref="D431:D432">
    <cfRule type="cellIs" priority="45" dxfId="1025" operator="notEqual">
      <formula>0</formula>
    </cfRule>
  </conditionalFormatting>
  <conditionalFormatting sqref="E431:E432">
    <cfRule type="cellIs" priority="44" dxfId="6" operator="equal">
      <formula>0</formula>
    </cfRule>
  </conditionalFormatting>
  <conditionalFormatting sqref="E431:E432">
    <cfRule type="cellIs" priority="43" dxfId="1025" operator="notEqual">
      <formula>0</formula>
    </cfRule>
  </conditionalFormatting>
  <conditionalFormatting sqref="F431:F432">
    <cfRule type="cellIs" priority="42" dxfId="6" operator="equal">
      <formula>0</formula>
    </cfRule>
  </conditionalFormatting>
  <conditionalFormatting sqref="F431:F432">
    <cfRule type="cellIs" priority="41" dxfId="1025" operator="notEqual">
      <formula>0</formula>
    </cfRule>
  </conditionalFormatting>
  <conditionalFormatting sqref="D433:D434">
    <cfRule type="cellIs" priority="40" dxfId="6" operator="equal">
      <formula>0</formula>
    </cfRule>
  </conditionalFormatting>
  <conditionalFormatting sqref="D433:D434">
    <cfRule type="cellIs" priority="39" dxfId="1025" operator="notEqual">
      <formula>0</formula>
    </cfRule>
  </conditionalFormatting>
  <conditionalFormatting sqref="E433:E434">
    <cfRule type="cellIs" priority="38" dxfId="6" operator="equal">
      <formula>0</formula>
    </cfRule>
  </conditionalFormatting>
  <conditionalFormatting sqref="E433:E434">
    <cfRule type="cellIs" priority="37" dxfId="1025" operator="notEqual">
      <formula>0</formula>
    </cfRule>
  </conditionalFormatting>
  <conditionalFormatting sqref="F433:F434">
    <cfRule type="cellIs" priority="36" dxfId="6" operator="equal">
      <formula>0</formula>
    </cfRule>
  </conditionalFormatting>
  <conditionalFormatting sqref="F433:F434">
    <cfRule type="cellIs" priority="35" dxfId="1025" operator="notEqual">
      <formula>0</formula>
    </cfRule>
  </conditionalFormatting>
  <conditionalFormatting sqref="D435:D436">
    <cfRule type="cellIs" priority="34" dxfId="6" operator="equal">
      <formula>0</formula>
    </cfRule>
  </conditionalFormatting>
  <conditionalFormatting sqref="D435:D436">
    <cfRule type="cellIs" priority="33" dxfId="1025" operator="notEqual">
      <formula>0</formula>
    </cfRule>
  </conditionalFormatting>
  <conditionalFormatting sqref="E435:E436">
    <cfRule type="cellIs" priority="32" dxfId="6" operator="equal">
      <formula>0</formula>
    </cfRule>
  </conditionalFormatting>
  <conditionalFormatting sqref="E435:E436">
    <cfRule type="cellIs" priority="31" dxfId="1025" operator="notEqual">
      <formula>0</formula>
    </cfRule>
  </conditionalFormatting>
  <conditionalFormatting sqref="F435:F436">
    <cfRule type="cellIs" priority="30" dxfId="6" operator="equal">
      <formula>0</formula>
    </cfRule>
  </conditionalFormatting>
  <conditionalFormatting sqref="F435:F436">
    <cfRule type="cellIs" priority="29" dxfId="1025" operator="notEqual">
      <formula>0</formula>
    </cfRule>
  </conditionalFormatting>
  <conditionalFormatting sqref="D437:D438">
    <cfRule type="cellIs" priority="28" dxfId="6" operator="equal">
      <formula>0</formula>
    </cfRule>
  </conditionalFormatting>
  <conditionalFormatting sqref="D437:D438">
    <cfRule type="cellIs" priority="27" dxfId="1025" operator="notEqual">
      <formula>0</formula>
    </cfRule>
  </conditionalFormatting>
  <conditionalFormatting sqref="E437:E438">
    <cfRule type="cellIs" priority="26" dxfId="6" operator="equal">
      <formula>0</formula>
    </cfRule>
  </conditionalFormatting>
  <conditionalFormatting sqref="E437:E438">
    <cfRule type="cellIs" priority="25" dxfId="1025" operator="notEqual">
      <formula>0</formula>
    </cfRule>
  </conditionalFormatting>
  <conditionalFormatting sqref="F437:F438">
    <cfRule type="cellIs" priority="24" dxfId="6" operator="equal">
      <formula>0</formula>
    </cfRule>
  </conditionalFormatting>
  <conditionalFormatting sqref="F437:F438">
    <cfRule type="cellIs" priority="23" dxfId="1025" operator="notEqual">
      <formula>0</formula>
    </cfRule>
  </conditionalFormatting>
  <conditionalFormatting sqref="D420:F420">
    <cfRule type="cellIs" priority="22" dxfId="3" operator="equal">
      <formula>0</formula>
    </cfRule>
  </conditionalFormatting>
  <conditionalFormatting sqref="D419:F419">
    <cfRule type="cellIs" priority="21" dxfId="3" operator="equal">
      <formula>0</formula>
    </cfRule>
  </conditionalFormatting>
  <conditionalFormatting sqref="C420">
    <cfRule type="cellIs" priority="20" dxfId="2" operator="equal">
      <formula>0</formula>
    </cfRule>
  </conditionalFormatting>
  <conditionalFormatting sqref="D418:F418">
    <cfRule type="cellIs" priority="18" dxfId="0" operator="equal">
      <formula>0</formula>
    </cfRule>
  </conditionalFormatting>
  <conditionalFormatting sqref="D417:F417">
    <cfRule type="cellIs" priority="19" dxfId="0" operator="equal">
      <formula>0</formula>
    </cfRule>
  </conditionalFormatting>
  <conditionalFormatting sqref="D443:D444">
    <cfRule type="cellIs" priority="17" dxfId="6" operator="equal">
      <formula>0</formula>
    </cfRule>
  </conditionalFormatting>
  <conditionalFormatting sqref="D443:D444">
    <cfRule type="cellIs" priority="16" dxfId="1025" operator="notEqual">
      <formula>0</formula>
    </cfRule>
  </conditionalFormatting>
  <conditionalFormatting sqref="E443:E444">
    <cfRule type="cellIs" priority="15" dxfId="6" operator="equal">
      <formula>0</formula>
    </cfRule>
  </conditionalFormatting>
  <conditionalFormatting sqref="E443:E444">
    <cfRule type="cellIs" priority="14" dxfId="1025" operator="notEqual">
      <formula>0</formula>
    </cfRule>
  </conditionalFormatting>
  <conditionalFormatting sqref="F443:F444">
    <cfRule type="cellIs" priority="13" dxfId="6" operator="equal">
      <formula>0</formula>
    </cfRule>
  </conditionalFormatting>
  <conditionalFormatting sqref="F443:F444">
    <cfRule type="cellIs" priority="12" dxfId="1025" operator="notEqual">
      <formula>0</formula>
    </cfRule>
  </conditionalFormatting>
  <conditionalFormatting sqref="D445:D446">
    <cfRule type="cellIs" priority="11" dxfId="6" operator="equal">
      <formula>0</formula>
    </cfRule>
  </conditionalFormatting>
  <conditionalFormatting sqref="D445:D446">
    <cfRule type="cellIs" priority="10" dxfId="1025" operator="notEqual">
      <formula>0</formula>
    </cfRule>
  </conditionalFormatting>
  <conditionalFormatting sqref="E445:E446">
    <cfRule type="cellIs" priority="9" dxfId="6" operator="equal">
      <formula>0</formula>
    </cfRule>
  </conditionalFormatting>
  <conditionalFormatting sqref="E445:E446">
    <cfRule type="cellIs" priority="8" dxfId="1025" operator="notEqual">
      <formula>0</formula>
    </cfRule>
  </conditionalFormatting>
  <conditionalFormatting sqref="F445:F446">
    <cfRule type="cellIs" priority="7" dxfId="6" operator="equal">
      <formula>0</formula>
    </cfRule>
  </conditionalFormatting>
  <conditionalFormatting sqref="F445:F446">
    <cfRule type="cellIs" priority="6" dxfId="1025" operator="notEqual">
      <formula>0</formula>
    </cfRule>
  </conditionalFormatting>
  <conditionalFormatting sqref="D442:F442">
    <cfRule type="cellIs" priority="5" dxfId="3" operator="equal">
      <formula>0</formula>
    </cfRule>
  </conditionalFormatting>
  <conditionalFormatting sqref="D441:F441">
    <cfRule type="cellIs" priority="4" dxfId="3" operator="equal">
      <formula>0</formula>
    </cfRule>
  </conditionalFormatting>
  <conditionalFormatting sqref="C442">
    <cfRule type="cellIs" priority="3" dxfId="2" operator="equal">
      <formula>0</formula>
    </cfRule>
  </conditionalFormatting>
  <conditionalFormatting sqref="D440:F440">
    <cfRule type="cellIs" priority="1" dxfId="0" operator="equal">
      <formula>0</formula>
    </cfRule>
  </conditionalFormatting>
  <conditionalFormatting sqref="D439:F439">
    <cfRule type="cellIs" priority="2" dxfId="0" operator="equal">
      <formula>0</formula>
    </cfRule>
  </conditionalFormatting>
  <printOptions horizontalCentered="1"/>
  <pageMargins left="0.5905511811023623" right="0.5905511811023623" top="0.5905511811023623" bottom="0.5905511811023623" header="0.5118110236220472" footer="0.5118110236220472"/>
  <pageSetup fitToHeight="0"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AnaCZ</cp:lastModifiedBy>
  <cp:lastPrinted>2022-05-15T16:41:18Z</cp:lastPrinted>
  <dcterms:created xsi:type="dcterms:W3CDTF">2022-03-28T20:48:41Z</dcterms:created>
  <dcterms:modified xsi:type="dcterms:W3CDTF">2022-05-19T15:22:49Z</dcterms:modified>
  <cp:category/>
  <cp:version/>
  <cp:contentType/>
  <cp:contentStatus/>
  <cp:revision>445</cp:revision>
</cp:coreProperties>
</file>