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90" windowHeight="7755" tabRatio="899" activeTab="1"/>
  </bookViews>
  <sheets>
    <sheet name="INSERÇÃO-DE-DADOS (POSTOS) " sheetId="11" r:id="rId1"/>
    <sheet name="INSERÇÃO-DE-DADOS (UNIFORMES)" sheetId="19" r:id="rId2"/>
    <sheet name="INSERÇÃO-DE-DADOS (MATERIAIS)" sheetId="16" r:id="rId3"/>
    <sheet name="DADOS-ESTATISTICOS" sheetId="15" r:id="rId4"/>
    <sheet name="ENCARGOS-SOCIAIS-E-TRABALHISTAS" sheetId="12" r:id="rId5"/>
    <sheet name="ENCARREGADO 44H" sheetId="14" r:id="rId6"/>
    <sheet name="CARREGADOR 44H" sheetId="17" r:id="rId7"/>
    <sheet name="QUADRO RESUMO" sheetId="18" r:id="rId8"/>
  </sheets>
  <definedNames>
    <definedName name="ACORDO_COLETIVO">'INSERÇÃO-DE-DADOS (POSTOS) '!$F$14</definedName>
    <definedName name="ACORDO_COLETIVO_CARREGADOR">'INSERÇÃO-DE-DADOS (POSTOS) '!#REF!</definedName>
    <definedName name="AL_1_A_SAL_BASE" localSheetId="6">'CARREGADOR 44H'!$F$22</definedName>
    <definedName name="AL_1_A_SAL_BASE" localSheetId="5">'ENCARREGADO 44H'!$F$22</definedName>
    <definedName name="AL_1_B_ADIC_PERIC" localSheetId="6">'CARREGADOR 44H'!#REF!</definedName>
    <definedName name="AL_1_B_ADIC_PERIC" localSheetId="5">'ENCARREGADO 44H'!#REF!</definedName>
    <definedName name="AL_1_C_ADIC_NOT" localSheetId="6">'CARREGADOR 44H'!#REF!</definedName>
    <definedName name="AL_1_C_ADIC_NOT" localSheetId="5">'ENCARREGADO 44H'!#REF!</definedName>
    <definedName name="AL_1_D_ADIC_NOT_RED" localSheetId="6">'CARREGADOR 44H'!#REF!</definedName>
    <definedName name="AL_1_D_ADIC_NOT_RED" localSheetId="5">'ENCARREGADO 44H'!#REF!</definedName>
    <definedName name="AL_2_1_A_DEC_TERC" localSheetId="6">'CARREGADOR 44H'!$F$28</definedName>
    <definedName name="AL_2_1_A_DEC_TERC" localSheetId="5">'ENCARREGADO 44H'!$F$28</definedName>
    <definedName name="AL_2_1_B_ADIC_FERIAS" localSheetId="6">'CARREGADOR 44H'!$F$29</definedName>
    <definedName name="AL_2_1_B_ADIC_FERIAS" localSheetId="5">'ENCARREGADO 44H'!$F$29</definedName>
    <definedName name="AL_2_2_FGTS" localSheetId="6">'CARREGADOR 44H'!$F$40</definedName>
    <definedName name="AL_2_2_FGTS" localSheetId="5">'ENCARREGADO 44H'!$F$40</definedName>
    <definedName name="AL_2_3_A_TRANSP" localSheetId="6">'CARREGADOR 44H'!$F$44</definedName>
    <definedName name="AL_2_3_A_TRANSP" localSheetId="5">'ENCARREGADO 44H'!$F$44</definedName>
    <definedName name="AL_2_3_B_AUX_ALIMENT" localSheetId="6">'CARREGADOR 44H'!$F$45</definedName>
    <definedName name="AL_2_3_B_AUX_ALIMENT" localSheetId="5">'ENCARREGADO 44H'!$F$45</definedName>
    <definedName name="AL_2_3_C_OUTROS_BENEF" localSheetId="6">'CARREGADOR 44H'!$F$46</definedName>
    <definedName name="AL_2_3_C_OUTROS_BENEF" localSheetId="5">'ENCARREGADO 44H'!$F$46</definedName>
    <definedName name="AL_2_A_ATE_2_G_GPS" localSheetId="6">'CARREGADOR 44H'!$F$33:$F$39</definedName>
    <definedName name="AL_2_A_ATE_2_G_GPS" localSheetId="5">'ENCARREGADO 44H'!$F$33:$F$39</definedName>
    <definedName name="AL_6_A_CUSTOS_INDIRETOS" localSheetId="6">'CARREGADOR 44H'!$F$75</definedName>
    <definedName name="AL_6_A_CUSTOS_INDIRETOS" localSheetId="5">'ENCARREGADO 44H'!$F$75</definedName>
    <definedName name="AL_6_B_LUCRO" localSheetId="6">'CARREGADOR 44H'!$F$76</definedName>
    <definedName name="AL_6_B_LUCRO" localSheetId="5">'ENCARREGADO 44H'!$F$76</definedName>
    <definedName name="AL_6_C_1_PIS" localSheetId="6">'CARREGADOR 44H'!$F$78</definedName>
    <definedName name="AL_6_C_1_PIS" localSheetId="5">'ENCARREGADO 44H'!$F$78</definedName>
    <definedName name="AL_6_C_2_COFINS" localSheetId="6">'CARREGADOR 44H'!$F$79</definedName>
    <definedName name="AL_6_C_2_COFINS" localSheetId="5">'ENCARREGADO 44H'!$F$79</definedName>
    <definedName name="AL_6_C_3_ISS" localSheetId="6">'CARREGADOR 44H'!$F$80</definedName>
    <definedName name="AL_6_C_3_ISS" localSheetId="5">'ENCARREGADO 44H'!$F$80</definedName>
    <definedName name="AL_6_C_TRIBUTOS" localSheetId="6">'CARREGADOR 44H'!$F$77</definedName>
    <definedName name="AL_6_C_TRIBUTOS" localSheetId="5">'ENCARREGADO 44H'!$F$77</definedName>
    <definedName name="ALIMENTACAO_POR_DIA">'INSERÇÃO-DE-DADOS (POSTOS) '!$F$41</definedName>
    <definedName name="ALIMENTACAO_POR_DIA_CARREGADOR">'INSERÇÃO-DE-DADOS (POSTOS) '!#REF!</definedName>
    <definedName name="_xlnm.Print_Area" localSheetId="6">'CARREGADOR 44H'!$B$1:$F$92</definedName>
    <definedName name="_xlnm.Print_Area" localSheetId="3">'DADOS-ESTATISTICOS'!$B$1:$F$38</definedName>
    <definedName name="_xlnm.Print_Area" localSheetId="4">'ENCARGOS-SOCIAIS-E-TRABALHISTAS'!$B$1:$F$34</definedName>
    <definedName name="_xlnm.Print_Area" localSheetId="5">'ENCARREGADO 44H'!$B$1:$F$92</definedName>
    <definedName name="_xlnm.Print_Area" localSheetId="2">'INSERÇÃO-DE-DADOS (MATERIAIS)'!$B$1:$R$9</definedName>
    <definedName name="_xlnm.Print_Area" localSheetId="0">'INSERÇÃO-DE-DADOS (POSTOS) '!$B$1:$F$73</definedName>
    <definedName name="_xlnm.Print_Area" localSheetId="1">'INSERÇÃO-DE-DADOS (UNIFORMES)'!$B$1:$H$35</definedName>
    <definedName name="_xlnm.Print_Area" localSheetId="7">'QUADRO RESUMO'!$C$5:$G$18</definedName>
    <definedName name="CATEGORIA_PROFISSIONAL">'INSERÇÃO-DE-DADOS (POSTOS) '!$D$25</definedName>
    <definedName name="CATEGORIA_PROFISSIONAL_CARREGADOR">'INSERÇÃO-DE-DADOS (POSTOS) '!#REF!</definedName>
    <definedName name="CBO">'INSERÇÃO-DE-DADOS (POSTOS) '!$D$23</definedName>
    <definedName name="CBO_CARREGADOR">'INSERÇÃO-DE-DADOS (POSTOS) '!#REF!</definedName>
    <definedName name="DATA_APRESENTACAO_PROPOSTA">'INSERÇÃO-DE-DADOS (POSTOS) '!$F$11</definedName>
    <definedName name="DATA_APRESENTACAO_PROPOSTA_CARREGADOR">'INSERÇÃO-DE-DADOS (POSTOS) '!#REF!</definedName>
    <definedName name="DATA_BASE_CATEGORIA">'INSERÇÃO-DE-DADOS (POSTOS) '!$F$26</definedName>
    <definedName name="DATA_BASE_CATEGORIA_CARREGADOR">'INSERÇÃO-DE-DADOS (POSTOS) '!#REF!</definedName>
    <definedName name="DATA_DO_ORCAMENTO_ESTIMATIVO">'INSERÇÃO-DE-DADOS (POSTOS) '!$F$2</definedName>
    <definedName name="DATA_DO_ORCAMENTO_ESTIMATIVO_CARREGADOR">'INSERÇÃO-DE-DADOS (POSTOS) '!#REF!</definedName>
    <definedName name="DATA_LICITACAO">'INSERÇÃO-DE-DADOS (POSTOS) '!$D$8</definedName>
    <definedName name="DATA_LICITACAO_CARREGADOR">'INSERÇÃO-DE-DADOS (POSTOS) '!#REF!</definedName>
    <definedName name="DIAS_AUSENCIAS_LEGAIS">'DADOS-ESTATISTICOS'!$F$27</definedName>
    <definedName name="DIAS_LICENCA_MATERNIDADE">'DADOS-ESTATISTICOS'!$F$33</definedName>
    <definedName name="DIAS_LICENCA_PATERNIDADE">'DADOS-ESTATISTICOS'!$F$28</definedName>
    <definedName name="DIAS_NA_SEMANA">'DADOS-ESTATISTICOS'!$F$5</definedName>
    <definedName name="DIAS_NO_ANO">'DADOS-ESTATISTICOS'!$F$6</definedName>
    <definedName name="DIAS_NO_MES">'DADOS-ESTATISTICOS'!$F$22</definedName>
    <definedName name="DIAS_PAGOS_EMPRESA_ACID_TRAB">'DADOS-ESTATISTICOS'!$F$32</definedName>
    <definedName name="DIAS_TRABALHADOS_NO_MES">'INSERÇÃO-DE-DADOS (POSTOS) '!$F$42</definedName>
    <definedName name="DIAS_TRABALHADOS_NO_MES_CARREGADOR">'INSERÇÃO-DE-DADOS (POSTOS) '!#REF!</definedName>
    <definedName name="DIVISOR_DE_HORAS">'DADOS-ESTATISTICOS'!$F$4</definedName>
    <definedName name="EMPREG_POR_POSTO">'INSERÇÃO-DE-DADOS (POSTOS) '!$E$19</definedName>
    <definedName name="EMPREG_POR_POSTO_CARREGADOR">'INSERÇÃO-DE-DADOS (POSTOS) '!#REF!</definedName>
    <definedName name="EQUIPAMENTOS">'INSERÇÃO-DE-DADOS (POSTOS) '!#REF!</definedName>
    <definedName name="HORA_NORMAL">'DADOS-ESTATISTICOS'!$F$9</definedName>
    <definedName name="HORA_NOTURNA">'DADOS-ESTATISTICOS'!$F$10</definedName>
    <definedName name="HORARIO_LICITACAO">'INSERÇÃO-DE-DADOS (POSTOS) '!$F$8</definedName>
    <definedName name="HORARIO_LICITACAO_CARREGADOR">'INSERÇÃO-DE-DADOS (POSTOS) '!#REF!</definedName>
    <definedName name="LOCAL_DE_EXECUCAO">'INSERÇÃO-DE-DADOS (POSTOS) '!$D$12</definedName>
    <definedName name="LOCAL_DE_EXECUCAO_CARREGADOR">'INSERÇÃO-DE-DADOS (POSTOS) '!#REF!</definedName>
    <definedName name="MATERIAIS">'INSERÇÃO-DE-DADOS (POSTOS) '!$F$55</definedName>
    <definedName name="MATERIAIS_CARREGADOR">'INSERÇÃO-DE-DADOS (POSTOS) '!#REF!</definedName>
    <definedName name="MEDIA_ANUAL_DIAS_TRABALHO_MES">'DADOS-ESTATISTICOS'!$F$7</definedName>
    <definedName name="MESES_NO_ANO">'DADOS-ESTATISTICOS'!$F$8</definedName>
    <definedName name="MOD_1_REMUNERACAO" localSheetId="6">'CARREGADOR 44H'!$F$24</definedName>
    <definedName name="MOD_1_REMUNERACAO" localSheetId="5">'ENCARREGADO 44H'!$F$24</definedName>
    <definedName name="MOD_2_ENCARGOS_BENEFICIOS" localSheetId="6">'CARREGADOR 44H'!$F$30+'CARREGADOR 44H'!$F$41+'CARREGADOR 44H'!$F$47</definedName>
    <definedName name="MOD_2_ENCARGOS_BENEFICIOS" localSheetId="5">'ENCARREGADO 44H'!$F$30+'ENCARREGADO 44H'!$F$41+'ENCARREGADO 44H'!$F$47</definedName>
    <definedName name="MOD_3_PROVISAO_RESCISAO" localSheetId="6">'CARREGADOR 44H'!$F$53</definedName>
    <definedName name="MOD_3_PROVISAO_RESCISAO" localSheetId="5">'ENCARREGADO 44H'!$F$53</definedName>
    <definedName name="MOD_4_CUSTO_REPOSICAO" localSheetId="6">'CARREGADOR 44H'!$F$64+'CARREGADOR 44H'!#REF!</definedName>
    <definedName name="MOD_4_CUSTO_REPOSICAO" localSheetId="5">'ENCARREGADO 44H'!$F$64+'ENCARREGADO 44H'!#REF!</definedName>
    <definedName name="MOD_5_INSUMOS" localSheetId="6">'CARREGADOR 44H'!$F$71</definedName>
    <definedName name="MOD_5_INSUMOS" localSheetId="5">'ENCARREGADO 44H'!$F$71</definedName>
    <definedName name="MOD_6_CUSTOS_IND_LUCRO_TRIB" localSheetId="6">'CARREGADOR 44H'!$F$81</definedName>
    <definedName name="MOD_6_CUSTOS_IND_LUCRO_TRIB" localSheetId="5">'ENCARREGADO 44H'!$F$81</definedName>
    <definedName name="MODALIDADE_DE_LICITACAO">'INSERÇÃO-DE-DADOS (POSTOS) '!$D$7</definedName>
    <definedName name="MODALIDADE_DE_LICITACAO_CARREGADOR">'INSERÇÃO-DE-DADOS (POSTOS) '!#REF!</definedName>
    <definedName name="NUMERO_MESES_EXEC_CONTRATUAL">'INSERÇÃO-DE-DADOS (POSTOS) '!$F$15</definedName>
    <definedName name="NUMERO_MESES_EXEC_CONTRATUAL_CARREGADOR">'INSERÇÃO-DE-DADOS (POSTOS) '!#REF!</definedName>
    <definedName name="NUMERO_PREGAO">'INSERÇÃO-DE-DADOS (POSTOS) '!$F$7</definedName>
    <definedName name="NUMERO_PREGAO_CARREGADOR">'INSERÇÃO-DE-DADOS (POSTOS) '!#REF!</definedName>
    <definedName name="NUMERO_PROCESSO">'INSERÇÃO-DE-DADOS (POSTOS) '!$D$6</definedName>
    <definedName name="NUMERO_PROCESSO_CARREGADOR">'INSERÇÃO-DE-DADOS (POSTOS) '!#REF!</definedName>
    <definedName name="OUTRAS_AUSENCIAS">'ENCARGOS-SOCIAIS-E-TRABALHISTAS'!$E$31</definedName>
    <definedName name="OUTRAS_AUSENCIAS_DESCRICAO">'INSERÇÃO-DE-DADOS (POSTOS) '!$C$48</definedName>
    <definedName name="OUTROS_BENEFICIOS_1">'INSERÇÃO-DE-DADOS (POSTOS) '!$F$43</definedName>
    <definedName name="OUTROS_BENEFICIOS_1_CARREGADOR">'INSERÇÃO-DE-DADOS (POSTOS) '!#REF!</definedName>
    <definedName name="OUTROS_BENEFICIOS_1_DESCRICAO">'INSERÇÃO-DE-DADOS (POSTOS) '!$C$43</definedName>
    <definedName name="OUTROS_BENEFICIOS_2">'INSERÇÃO-DE-DADOS (POSTOS) '!#REF!</definedName>
    <definedName name="OUTROS_BENEFICIOS_2_DESCRICAO">'INSERÇÃO-DE-DADOS (POSTOS) '!#REF!</definedName>
    <definedName name="OUTROS_BENEFICIOS_3">'INSERÇÃO-DE-DADOS (POSTOS) '!#REF!</definedName>
    <definedName name="OUTROS_BENEFICIOS_3_DESCRICAO">'INSERÇÃO-DE-DADOS (POSTOS) '!#REF!</definedName>
    <definedName name="OUTROS_INSUMOS">'INSERÇÃO-DE-DADOS (POSTOS) '!$F$56</definedName>
    <definedName name="OUTROS_INSUMOS_CARREGADOR">'INSERÇÃO-DE-DADOS (POSTOS) '!#REF!</definedName>
    <definedName name="OUTROS_INSUMOS_DESCRICAO">'INSERÇÃO-DE-DADOS (POSTOS) '!$C$56</definedName>
    <definedName name="OUTROS_INSUMOS_DESCRICAO_CARREGADOR">'INSERÇÃO-DE-DADOS (POSTOS) '!#REF!</definedName>
    <definedName name="OUTROS_REMUNERACAO_1">'INSERÇÃO-DE-DADOS (POSTOS) '!$F$34</definedName>
    <definedName name="OUTROS_REMUNERACAO_1_CARREGADOR">'INSERÇÃO-DE-DADOS (POSTOS) '!#REF!</definedName>
    <definedName name="OUTROS_REMUNERACAO_1_DESCRICAO">'INSERÇÃO-DE-DADOS (POSTOS) '!$C$34</definedName>
    <definedName name="OUTROS_REMUNERACAO_1_DESCRICAO_CARREGADOR">'INSERÇÃO-DE-DADOS (POSTOS) '!#REF!</definedName>
    <definedName name="OUTROS_REMUNERACAO_2">'INSERÇÃO-DE-DADOS (POSTOS) '!#REF!</definedName>
    <definedName name="OUTROS_REMUNERACAO_2_DESCRICAO">'INSERÇÃO-DE-DADOS (POSTOS) '!#REF!</definedName>
    <definedName name="OUTROS_REMUNERACAO_3">'INSERÇÃO-DE-DADOS (POSTOS) '!#REF!</definedName>
    <definedName name="OUTROS_REMUNERACAO_3_DESCRICAO">'INSERÇÃO-DE-DADOS (POSTOS) '!#REF!</definedName>
    <definedName name="PERC_ADIC_FERIAS">'ENCARGOS-SOCIAIS-E-TRABALHISTAS'!$E$6</definedName>
    <definedName name="PERC_ADIC_INS">'INSERÇÃO-DE-DADOS (POSTOS) '!#REF!</definedName>
    <definedName name="PERC_ADIC_NOT">'INSERÇÃO-DE-DADOS (POSTOS) '!#REF!</definedName>
    <definedName name="PERC_ADIC_PERIC">'INSERÇÃO-DE-DADOS (POSTOS) '!#REF!</definedName>
    <definedName name="PERC_AVISO_PREVIO_IND">'ENCARGOS-SOCIAIS-E-TRABALHISTAS'!$E$20</definedName>
    <definedName name="PERC_AVISO_PREVIO_TRAB">'ENCARGOS-SOCIAIS-E-TRABALHISTAS'!$E$21</definedName>
    <definedName name="PERC_COFINS">'INSERÇÃO-DE-DADOS (POSTOS) '!$F$64</definedName>
    <definedName name="PERC_COFINS_CARREGADOR">'INSERÇÃO-DE-DADOS (POSTOS) '!#REF!</definedName>
    <definedName name="PERC_CONTRIB_SOCIAL">'DADOS-ESTATISTICOS'!#REF!</definedName>
    <definedName name="PERC_CUSTOS_INDIRETOS">'INSERÇÃO-DE-DADOS (POSTOS) '!$F$61</definedName>
    <definedName name="PERC_CUSTOS_INDIRETOS_CARREGADOR">'INSERÇÃO-DE-DADOS (POSTOS) '!#REF!</definedName>
    <definedName name="PERC_DEC_TERC">'ENCARGOS-SOCIAIS-E-TRABALHISTAS'!$E$5</definedName>
    <definedName name="PERC_DESC_TRANSP_REMUNERACAO">'DADOS-ESTATISTICOS'!$F$14</definedName>
    <definedName name="PERC_EMPREG_AFAST_TRAB">'DADOS-ESTATISTICOS'!$F$31</definedName>
    <definedName name="PERC_EMPREG_AVISO_PREVIO_IND">'DADOS-ESTATISTICOS'!$F$19</definedName>
    <definedName name="PERC_EMPREG_AVISO_PREVIO_TRAB">'DADOS-ESTATISTICOS'!$F$21</definedName>
    <definedName name="PERC_EMPREG_DEMIT_SEM_JUSTA_CAUSA_TOTAL_DESLIG">'DADOS-ESTATISTICOS'!$F$18</definedName>
    <definedName name="PERC_FGTS">'ENCARGOS-SOCIAIS-E-TRABALHISTAS'!$E$16</definedName>
    <definedName name="PERC_FGTS_AVISO_PREV_IND">'ENCARGOS-SOCIAIS-E-TRABALHISTAS'!#REF!</definedName>
    <definedName name="PERC_GPS_FGTS">'ENCARGOS-SOCIAIS-E-TRABALHISTAS'!$E$17</definedName>
    <definedName name="PERC_GPS_FGTS_AVISO_PREVIO_TRAB">'ENCARGOS-SOCIAIS-E-TRABALHISTAS'!#REF!</definedName>
    <definedName name="PERC_HORA_EXTRA">'INSERÇÃO-DE-DADOS (POSTOS) '!#REF!</definedName>
    <definedName name="PERC_INCRA">'ENCARGOS-SOCIAIS-E-TRABALHISTAS'!$E$15</definedName>
    <definedName name="PERC_INSS">'ENCARGOS-SOCIAIS-E-TRABALHISTAS'!$E$9</definedName>
    <definedName name="PERC_ISS">'INSERÇÃO-DE-DADOS (POSTOS) '!$F$65</definedName>
    <definedName name="PERC_ISS_CARREGADOR">'INSERÇÃO-DE-DADOS (POSTOS) '!#REF!</definedName>
    <definedName name="PERC_LUCRO">'INSERÇÃO-DE-DADOS (POSTOS) '!$F$62</definedName>
    <definedName name="PERC_LUCRO_CARREGADOR">'INSERÇÃO-DE-DADOS (POSTOS) '!#REF!</definedName>
    <definedName name="PERC_MOD_3_PROVISAO_RESCISAO" localSheetId="6">'CARREGADOR 44H'!$E$53</definedName>
    <definedName name="PERC_MOD_3_PROVISAO_RESCISAO" localSheetId="5">'ENCARREGADO 44H'!$E$53</definedName>
    <definedName name="PERC_MULTA_FGTS">'DADOS-ESTATISTICOS'!$F$20</definedName>
    <definedName name="PERC_MULTA_FGTS_AV_PREV_IND">'ENCARGOS-SOCIAIS-E-TRABALHISTAS'!#REF!</definedName>
    <definedName name="PERC_MULTA_FGTS_AV_PREV_TRAB">'ENCARGOS-SOCIAIS-E-TRABALHISTAS'!$E$22</definedName>
    <definedName name="PERC_NASCIDOS_VIVOS_POPUL_FEM">'DADOS-ESTATISTICOS'!$F$29</definedName>
    <definedName name="PERC_PARTIC_FEM_VIGIL">'DADOS-ESTATISTICOS'!$F$34</definedName>
    <definedName name="PERC_PARTIC_MASC_VIGIL">'DADOS-ESTATISTICOS'!$F$30</definedName>
    <definedName name="PERC_PIS">'INSERÇÃO-DE-DADOS (POSTOS) '!$F$63</definedName>
    <definedName name="PERC_PIS_CARREGADOR">'INSERÇÃO-DE-DADOS (POSTOS) '!#REF!</definedName>
    <definedName name="PERC_RAT">'ENCARGOS-SOCIAIS-E-TRABALHISTAS'!$E$11</definedName>
    <definedName name="PERC_SAL_EDUCACAO">'ENCARGOS-SOCIAIS-E-TRABALHISTAS'!$E$10</definedName>
    <definedName name="PERC_SEBRAE">'ENCARGOS-SOCIAIS-E-TRABALHISTAS'!$E$14</definedName>
    <definedName name="PERC_SENAC">'ENCARGOS-SOCIAIS-E-TRABALHISTAS'!$E$13</definedName>
    <definedName name="PERC_SESC">'ENCARGOS-SOCIAIS-E-TRABALHISTAS'!$E$12</definedName>
    <definedName name="PERC_SUBSTITUTO_ACID_TRAB">'ENCARGOS-SOCIAIS-E-TRABALHISTAS'!$E$29</definedName>
    <definedName name="PERC_SUBSTITUTO_AFAST_MATERN">'ENCARGOS-SOCIAIS-E-TRABALHISTAS'!$E$30</definedName>
    <definedName name="PERC_SUBSTITUTO_AUSENCIAS_LEGAIS">'ENCARGOS-SOCIAIS-E-TRABALHISTAS'!$E$27</definedName>
    <definedName name="PERC_SUBSTITUTO_FERIAS">'ENCARGOS-SOCIAIS-E-TRABALHISTAS'!$E$26</definedName>
    <definedName name="PERC_SUBSTITUTO_LICENCA_PATERNIDADE">'ENCARGOS-SOCIAIS-E-TRABALHISTAS'!$E$28</definedName>
    <definedName name="PERC_SUBSTITUTO_OUTRAS_AUSENCIAS">'INSERÇÃO-DE-DADOS (POSTOS) '!$F$48</definedName>
    <definedName name="PERC_SUBSTITUTO_OUTRAS_AUSENCIAS_CARREGADOR">'INSERÇÃO-DE-DADOS (POSTOS) '!#REF!</definedName>
    <definedName name="PERC_TRIBUTOS" localSheetId="6">'CARREGADOR 44H'!$E$77</definedName>
    <definedName name="PERC_TRIBUTOS" localSheetId="5">'ENCARREGADO 44H'!$E$77</definedName>
    <definedName name="QTDE_POSTOS" localSheetId="6">'INSERÇÃO-DE-DADOS (POSTOS) '!$F$19</definedName>
    <definedName name="QTDE_POSTOS" localSheetId="5">'INSERÇÃO-DE-DADOS (POSTOS) '!$F$19</definedName>
    <definedName name="QTDE_POSTOS_CARREGADOR">'INSERÇÃO-DE-DADOS (POSTOS) '!#REF!</definedName>
    <definedName name="Qtde_Total_a_Contratar">'INSERÇÃO-DE-DADOS (POSTOS) '!#REF!</definedName>
    <definedName name="RAMO">'INSERÇÃO-DE-DADOS (POSTOS) '!$B$1</definedName>
    <definedName name="RAMO_CARREGADOR">'INSERÇÃO-DE-DADOS (POSTOS) '!#REF!</definedName>
    <definedName name="SAL_MINIMO">'INSERÇÃO-DE-DADOS (POSTOS) '!$F$27</definedName>
    <definedName name="SAL_MINIMO_CARREGADOR">'INSERÇÃO-DE-DADOS (POSTOS) '!#REF!</definedName>
    <definedName name="SALARIO_BASE">'INSERÇÃO-DE-DADOS (POSTOS) '!$F$32</definedName>
    <definedName name="SALARIO_BASE_CARREGADOR">'INSERÇÃO-DE-DADOS (POSTOS) '!#REF!</definedName>
    <definedName name="SUBMOD_2_1_DEC_TERC_ADIC_FERIAS" localSheetId="6">'CARREGADOR 44H'!$F$30</definedName>
    <definedName name="SUBMOD_2_1_DEC_TERC_ADIC_FERIAS" localSheetId="5">'ENCARREGADO 44H'!$F$30</definedName>
    <definedName name="SUBMOD_2_2_GPS_FGTS" localSheetId="6">'CARREGADOR 44H'!$F$41</definedName>
    <definedName name="SUBMOD_2_2_GPS_FGTS" localSheetId="5">'ENCARREGADO 44H'!$F$41</definedName>
    <definedName name="SUBMOD_2_3_BENEFICIOS" localSheetId="6">'CARREGADOR 44H'!$F$47</definedName>
    <definedName name="SUBMOD_2_3_BENEFICIOS" localSheetId="5">'ENCARREGADO 44H'!$F$47</definedName>
    <definedName name="SUBMOD_4_1_SUBSTITUTO" localSheetId="6">'CARREGADOR 44H'!$F$64</definedName>
    <definedName name="SUBMOD_4_1_SUBSTITUTO" localSheetId="5">'ENCARREGADO 44H'!$F$64</definedName>
    <definedName name="SUBMOD_4_2_INTRAJORNADA" localSheetId="6">'CARREGADOR 44H'!#REF!</definedName>
    <definedName name="SUBMOD_4_2_INTRAJORNADA" localSheetId="5">'ENCARREGADO 44H'!#REF!</definedName>
    <definedName name="TEMPO_INTERVALO_REFEICAO">'INSERÇÃO-DE-DADOS (POSTOS) '!#REF!</definedName>
    <definedName name="TIPO_DE_SERVICO">'INSERÇÃO-DE-DADOS (POSTOS) '!$C$19</definedName>
    <definedName name="TIPO_DE_SERVICO_CARREGADOR">'INSERÇÃO-DE-DADOS (POSTOS) '!#REF!</definedName>
    <definedName name="TRANSPORTE_POR_DIA">'INSERÇÃO-DE-DADOS (POSTOS) '!$F$40</definedName>
    <definedName name="TRANSPORTE_POR_DIA_CARREGADOR">'INSERÇÃO-DE-DADOS (POSTOS) '!#REF!</definedName>
    <definedName name="UG">'INSERÇÃO-DE-DADOS (POSTOS) '!$B$2</definedName>
    <definedName name="UG_CARREGADOR">'INSERÇÃO-DE-DADOS (POSTOS) '!#REF!</definedName>
    <definedName name="UNIFORMES">'INSERÇÃO-DE-DADOS (POSTOS) '!$F$53</definedName>
    <definedName name="UNIFORMES_CARREGADOR">'INSERÇÃO-DE-DADOS (POSTOS) '!#REF!</definedName>
    <definedName name="UNIFORMES_UNIFORMES">'INSERÇÃO-DE-DADOS (POSTOS) '!#REF!</definedName>
    <definedName name="VALOR_TOTAL_EMPREGADO" localSheetId="6">'CARREGADOR 44H'!$F$90</definedName>
    <definedName name="VALOR_TOTAL_EMPREGADO" localSheetId="5">'ENCARREGADO 44H'!$F$90</definedName>
    <definedName name="VALOR_TOTAL_POSTO" localSheetId="6">'CARREGADOR 44H'!$F$91</definedName>
    <definedName name="VALOR_TOTAL_POSTO" localSheetId="5">'ENCARREGADO 44H'!$F$91</definedName>
  </definedNames>
  <calcPr calcId="101716" fullPrecision="0"/>
  <customWorkbookViews>
    <customWorkbookView name="teste" guid="{E22B0E03-E710-4313-B9E5-0BFE52A7E677}" maximized="1" xWindow="-8" yWindow="-8" windowWidth="1936" windowHeight="1056" tabRatio="899" activeSheetId="2"/>
  </customWorkbookViews>
</workbook>
</file>

<file path=xl/calcChain.xml><?xml version="1.0" encoding="utf-8"?>
<calcChain xmlns="http://schemas.openxmlformats.org/spreadsheetml/2006/main">
  <c r="F70" i="14"/>
  <c r="F69"/>
  <c r="D9" i="17"/>
  <c r="C15" i="18"/>
  <c r="C14"/>
  <c r="C13"/>
  <c r="F15"/>
  <c r="F14"/>
  <c r="F13"/>
  <c r="E71" i="11"/>
  <c r="E9" i="18"/>
  <c r="F19" i="17"/>
  <c r="E14"/>
  <c r="E14" i="14"/>
  <c r="E80" i="17"/>
  <c r="E79"/>
  <c r="E78"/>
  <c r="E76"/>
  <c r="E75"/>
  <c r="F70"/>
  <c r="C70"/>
  <c r="F46"/>
  <c r="F45"/>
  <c r="C23"/>
  <c r="F23"/>
  <c r="F22"/>
  <c r="F44"/>
  <c r="F17"/>
  <c r="D16"/>
  <c r="D15"/>
  <c r="F12"/>
  <c r="F11"/>
  <c r="F10"/>
  <c r="F8"/>
  <c r="D6"/>
  <c r="D5"/>
  <c r="F2"/>
  <c r="B2"/>
  <c r="B1"/>
  <c r="E5" i="12"/>
  <c r="F45" i="14"/>
  <c r="F22"/>
  <c r="F44"/>
  <c r="R7" i="16"/>
  <c r="R6"/>
  <c r="G33" i="19"/>
  <c r="H33"/>
  <c r="G32"/>
  <c r="H32"/>
  <c r="G31"/>
  <c r="H31"/>
  <c r="G30"/>
  <c r="H30"/>
  <c r="G29"/>
  <c r="H29"/>
  <c r="G28"/>
  <c r="H28"/>
  <c r="G21"/>
  <c r="H21"/>
  <c r="G20"/>
  <c r="H20"/>
  <c r="G19"/>
  <c r="H19"/>
  <c r="G18"/>
  <c r="H18"/>
  <c r="G17"/>
  <c r="H17"/>
  <c r="G9"/>
  <c r="H9"/>
  <c r="G8"/>
  <c r="H8"/>
  <c r="G7"/>
  <c r="H7"/>
  <c r="G6"/>
  <c r="H6"/>
  <c r="G5"/>
  <c r="H5"/>
  <c r="P7" i="16"/>
  <c r="P6"/>
  <c r="E8" i="18"/>
  <c r="E14"/>
  <c r="C8"/>
  <c r="E28" i="14"/>
  <c r="E28" i="17"/>
  <c r="E15" i="18"/>
  <c r="E13"/>
  <c r="G13"/>
  <c r="G14"/>
  <c r="G15"/>
  <c r="G16"/>
  <c r="R8" i="16"/>
  <c r="R9"/>
  <c r="H22" i="19"/>
  <c r="H10"/>
  <c r="H34"/>
  <c r="F55" i="11"/>
  <c r="F69" i="17"/>
  <c r="F54" i="11"/>
  <c r="F68" i="17"/>
  <c r="H35" i="19"/>
  <c r="F53" i="11"/>
  <c r="F12" i="14"/>
  <c r="F6" i="17"/>
  <c r="E63"/>
  <c r="C63"/>
  <c r="C46"/>
  <c r="E40"/>
  <c r="E39"/>
  <c r="E38"/>
  <c r="E37"/>
  <c r="E36"/>
  <c r="E35"/>
  <c r="E34"/>
  <c r="E33"/>
  <c r="E77"/>
  <c r="F47"/>
  <c r="F71"/>
  <c r="F88"/>
  <c r="F24"/>
  <c r="F84"/>
  <c r="F31" i="15"/>
  <c r="F19" i="14"/>
  <c r="D16"/>
  <c r="D15"/>
  <c r="D9"/>
  <c r="F2"/>
  <c r="E31" i="12"/>
  <c r="C31"/>
  <c r="E80" i="14"/>
  <c r="E79"/>
  <c r="E78"/>
  <c r="E76"/>
  <c r="E75"/>
  <c r="C70"/>
  <c r="F68"/>
  <c r="E63"/>
  <c r="C63"/>
  <c r="F46"/>
  <c r="C46"/>
  <c r="E39"/>
  <c r="E38"/>
  <c r="E37"/>
  <c r="E36"/>
  <c r="E35"/>
  <c r="E34"/>
  <c r="E33"/>
  <c r="F23"/>
  <c r="C23"/>
  <c r="F17"/>
  <c r="F11"/>
  <c r="F10"/>
  <c r="F8"/>
  <c r="F6"/>
  <c r="D6"/>
  <c r="D5"/>
  <c r="B2"/>
  <c r="B1"/>
  <c r="F71"/>
  <c r="F88"/>
  <c r="E77"/>
  <c r="F47"/>
  <c r="F24"/>
  <c r="F28"/>
  <c r="F84"/>
  <c r="E6" i="12"/>
  <c r="E20"/>
  <c r="E21"/>
  <c r="E26"/>
  <c r="E27"/>
  <c r="E28"/>
  <c r="E29"/>
  <c r="E63" i="11"/>
  <c r="E64"/>
  <c r="E65"/>
  <c r="E29" i="14"/>
  <c r="E29" i="17"/>
  <c r="E61"/>
  <c r="E51"/>
  <c r="E22" i="12"/>
  <c r="E60" i="17"/>
  <c r="E50"/>
  <c r="E59"/>
  <c r="F29"/>
  <c r="E58"/>
  <c r="F28"/>
  <c r="E61" i="14"/>
  <c r="E51"/>
  <c r="E59"/>
  <c r="E50"/>
  <c r="E60"/>
  <c r="F29"/>
  <c r="E58"/>
  <c r="F30" i="17"/>
  <c r="E52"/>
  <c r="F30" i="14"/>
  <c r="F52" i="17"/>
  <c r="F39"/>
  <c r="F35"/>
  <c r="F37"/>
  <c r="F34"/>
  <c r="F36" i="14"/>
  <c r="F36" i="17"/>
  <c r="F38"/>
  <c r="F33"/>
  <c r="F40"/>
  <c r="F50"/>
  <c r="F34" i="14"/>
  <c r="F37"/>
  <c r="F38"/>
  <c r="F39"/>
  <c r="F33"/>
  <c r="F35"/>
  <c r="F41" i="17"/>
  <c r="E40" i="14"/>
  <c r="F52"/>
  <c r="E17" i="12"/>
  <c r="F40" i="14"/>
  <c r="F41"/>
  <c r="F51" i="17"/>
  <c r="F53"/>
  <c r="F86"/>
  <c r="F85"/>
  <c r="E30" i="12"/>
  <c r="F85" i="14"/>
  <c r="F51"/>
  <c r="F50"/>
  <c r="E52"/>
  <c r="F58" i="17"/>
  <c r="F60"/>
  <c r="F61"/>
  <c r="F63"/>
  <c r="F59"/>
  <c r="E62" i="14"/>
  <c r="F62" i="17"/>
  <c r="E62"/>
  <c r="F53" i="14"/>
  <c r="F64" i="17"/>
  <c r="F87"/>
  <c r="F86" i="14"/>
  <c r="F62"/>
  <c r="F63"/>
  <c r="F58"/>
  <c r="F61"/>
  <c r="F60"/>
  <c r="F59"/>
  <c r="F75" i="17"/>
  <c r="F76"/>
  <c r="F78"/>
  <c r="F64" i="14"/>
  <c r="F79" i="17"/>
  <c r="F80"/>
  <c r="F87" i="14"/>
  <c r="F75"/>
  <c r="F76"/>
  <c r="F77" i="17"/>
  <c r="F81"/>
  <c r="F89"/>
  <c r="F90"/>
  <c r="F80" i="14"/>
  <c r="F79"/>
  <c r="F78"/>
  <c r="F92" i="17"/>
  <c r="F91"/>
  <c r="F9" i="18"/>
  <c r="G9"/>
  <c r="F77" i="14"/>
  <c r="F81"/>
  <c r="F89"/>
  <c r="F90"/>
  <c r="F91"/>
  <c r="F8" i="18"/>
  <c r="G8"/>
  <c r="G10"/>
  <c r="F92" i="14"/>
  <c r="G17" i="18"/>
  <c r="G18"/>
</calcChain>
</file>

<file path=xl/sharedStrings.xml><?xml version="1.0" encoding="utf-8"?>
<sst xmlns="http://schemas.openxmlformats.org/spreadsheetml/2006/main" count="637" uniqueCount="253">
  <si>
    <t>Insumos Diversos</t>
  </si>
  <si>
    <t>%</t>
  </si>
  <si>
    <t>A</t>
  </si>
  <si>
    <t>B</t>
  </si>
  <si>
    <t>C</t>
  </si>
  <si>
    <t>D</t>
  </si>
  <si>
    <t>E</t>
  </si>
  <si>
    <t>F</t>
  </si>
  <si>
    <t>MÓDULO 1: COMPOSIÇÃO DA REMUNERAÇÃO</t>
  </si>
  <si>
    <t>Composição da Remuneração</t>
  </si>
  <si>
    <t>G</t>
  </si>
  <si>
    <t>H</t>
  </si>
  <si>
    <t>I</t>
  </si>
  <si>
    <t>Valor (R$)</t>
  </si>
  <si>
    <t>Benefícios Mensais e Diários</t>
  </si>
  <si>
    <t>Transporte</t>
  </si>
  <si>
    <t>Uniformes</t>
  </si>
  <si>
    <t>Materiais</t>
  </si>
  <si>
    <t>Valor    (R$)</t>
  </si>
  <si>
    <t>4.1</t>
  </si>
  <si>
    <t>Custos Indiretos, Tributos e Lucro</t>
  </si>
  <si>
    <t>Tributos</t>
  </si>
  <si>
    <t>PIS</t>
  </si>
  <si>
    <t>Cofins</t>
  </si>
  <si>
    <t>ISS</t>
  </si>
  <si>
    <t>Tipo de Serviço</t>
  </si>
  <si>
    <t>VALOR TOTAL POR POSTO</t>
  </si>
  <si>
    <t>Lucro</t>
  </si>
  <si>
    <t>Nº do Processo (X.XX.XXX.XXXXXX/XXXX-XX)</t>
  </si>
  <si>
    <t>Modalidade de Licitação nº (XX/AAAA)</t>
  </si>
  <si>
    <t>Pregão nº</t>
  </si>
  <si>
    <t>Local de Execução (Sede, Anexo I ou II, PTM, PRM)</t>
  </si>
  <si>
    <t>Acordo, Conv. ou Sentença Normativa em Dissídio Coletivo (MM/AAAA)</t>
  </si>
  <si>
    <t>Frequência</t>
  </si>
  <si>
    <t>Diária</t>
  </si>
  <si>
    <t>PLANILHA DE CUSTOS E FORMAÇÃO DE PREÇOS</t>
  </si>
  <si>
    <t>INSS</t>
  </si>
  <si>
    <t>INCRA</t>
  </si>
  <si>
    <t>Salário Educação</t>
  </si>
  <si>
    <t>FGTS</t>
  </si>
  <si>
    <t>SEBRAE</t>
  </si>
  <si>
    <t>TOTAL</t>
  </si>
  <si>
    <t>13º Salário</t>
  </si>
  <si>
    <t>Provisão para Rescisão</t>
  </si>
  <si>
    <t>Aviso Prévio Indenizado</t>
  </si>
  <si>
    <t>Aviso Prévio Trabalhado</t>
  </si>
  <si>
    <t>Custo de Reposição do Profissional Ausente</t>
  </si>
  <si>
    <t>EMPREGADOS POR POSTO</t>
  </si>
  <si>
    <t>QUADRO RESUMO - CUSTO POR EMPREGADO</t>
  </si>
  <si>
    <t>DATA:</t>
  </si>
  <si>
    <t>DISCRIMINAÇÃO DOS SERVIÇOS (DADOS REFERENTES À CONTRATAÇÃO)</t>
  </si>
  <si>
    <t>Classificação Brasileira de Ocupações (CBO)</t>
  </si>
  <si>
    <t>Tipo de Serviço (mesmo serviço com características distintas)</t>
  </si>
  <si>
    <t>Categoria Profissional (vinculada à execução contratual)</t>
  </si>
  <si>
    <t>Data-Base da Categoria (DD/MM/AAAA)</t>
  </si>
  <si>
    <t>Data de Apresentação da Proposta (DD/MM/AAAA)</t>
  </si>
  <si>
    <t>Número de Meses de Execução Contratual</t>
  </si>
  <si>
    <t>MÓDULO 2: ENCARGOS E BENEFÍCIOS ANUAIS, MENSAIS E DIÁRIOS</t>
  </si>
  <si>
    <t>2.1</t>
  </si>
  <si>
    <t>Submódulo 2.2 - Encargos Previdencários (GPS), Fundo de Garantia por Tempo de Serviço (FGTS) e Outras Contribuições</t>
  </si>
  <si>
    <t>2.2</t>
  </si>
  <si>
    <t>Auxílio-Refeição/Alimentação</t>
  </si>
  <si>
    <t>Submódulo 2.3 - Benefícios Mensais e Diários</t>
  </si>
  <si>
    <t>MÓDULO 3: PROVISÃO PARA RESCISÃO</t>
  </si>
  <si>
    <t>MÓDULO 4: CUSTO DE REPOSIÇÃO DO PROFISSIONAL AUSENTE</t>
  </si>
  <si>
    <t>MÓDULO 6: CUSTOS INDIRETOS, TRIBUTOS E LUCRO</t>
  </si>
  <si>
    <t>MÓDULO 5: INSUMOS DIVERSOS</t>
  </si>
  <si>
    <t>Custos Indiretos</t>
  </si>
  <si>
    <t>C.1</t>
  </si>
  <si>
    <t>C.2</t>
  </si>
  <si>
    <t>C.3</t>
  </si>
  <si>
    <t>Quantidade de Postos</t>
  </si>
  <si>
    <t>SESC</t>
  </si>
  <si>
    <t>SENAC</t>
  </si>
  <si>
    <t>Riscos Ambientas do Trabalho</t>
  </si>
  <si>
    <t>2.3</t>
  </si>
  <si>
    <t>Salário-Base</t>
  </si>
  <si>
    <t>13º Salário e Adicional de Férias</t>
  </si>
  <si>
    <t>Adicional de Férias</t>
  </si>
  <si>
    <t>Encargos Previdenciários (GPS), Fundo de Garantia por Tempo de Serviço (FGTS) e outras contribuições</t>
  </si>
  <si>
    <t>Dados referentes à licitação</t>
  </si>
  <si>
    <t>MÓD.</t>
  </si>
  <si>
    <t>Mão-de-obra vinculada à execução contratual (valor por empregado)</t>
  </si>
  <si>
    <t>Encargos e Benefícios Anuais, Mensais e Diários</t>
  </si>
  <si>
    <t>VALOR TOTAL DO EMPREGADO</t>
  </si>
  <si>
    <t>Submódulo 4.1 - Substituto nas Ausências Legais</t>
  </si>
  <si>
    <t>Substituto nas Ausências Legais</t>
  </si>
  <si>
    <t xml:space="preserve">Substituto na Cobertura de Férias 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</si>
  <si>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</si>
  <si>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</si>
  <si>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</si>
  <si>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</si>
  <si>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Submódulo 2.1 - 13º (décimo terceiro) Salário e Adicional de Férias</t>
  </si>
  <si>
    <t>Dados referentes à contratação</t>
  </si>
  <si>
    <t>Data / Horário</t>
  </si>
  <si>
    <t>Identificação do serviço</t>
  </si>
  <si>
    <t>Unidade de Medida</t>
  </si>
  <si>
    <t>Qtde Total a Contratar</t>
  </si>
  <si>
    <t>Mão de obra</t>
  </si>
  <si>
    <t>Dias no Ano</t>
  </si>
  <si>
    <t>Dias na Semana</t>
  </si>
  <si>
    <t>Hora Normal (em minutos)</t>
  </si>
  <si>
    <t>Hora Noturna (em minutos)</t>
  </si>
  <si>
    <t>Valor / %</t>
  </si>
  <si>
    <t>Valor (em R$)</t>
  </si>
  <si>
    <t>J</t>
  </si>
  <si>
    <t>Divisor de Horas (em horas)</t>
  </si>
  <si>
    <t xml:space="preserve">Meses no Ano </t>
  </si>
  <si>
    <t>Empregados que recebem aviso prévio indenizado (em %)</t>
  </si>
  <si>
    <t>Multa do FGTS (em %)</t>
  </si>
  <si>
    <t>Empregados que recebem aviso prévio trabalhado (em %)</t>
  </si>
  <si>
    <t>K</t>
  </si>
  <si>
    <t>L</t>
  </si>
  <si>
    <t>Dias de Ausências Legais</t>
  </si>
  <si>
    <t>Dias de Licença-Paternidade</t>
  </si>
  <si>
    <t>Nascidos Vivos / População Feminina (em %)</t>
  </si>
  <si>
    <t>Empregados afastados por acidente de trabalho (em %)</t>
  </si>
  <si>
    <t>Dias de Licença-Maternidade</t>
  </si>
  <si>
    <t>Pessoas demitidas sem justa causa / Total de desligamentos (em %)</t>
  </si>
  <si>
    <t>Salário Mínimo vigente no país (em R$)</t>
  </si>
  <si>
    <t>Dias no mês</t>
  </si>
  <si>
    <t>Dias pagos pela empresa em acidentes de trabalho</t>
  </si>
  <si>
    <t>Mensal</t>
  </si>
  <si>
    <t>Média Anual de Dias Trabalhados no Mês</t>
  </si>
  <si>
    <t>Desconto Remuneração Transporte</t>
  </si>
  <si>
    <t>Unidade da Federação</t>
  </si>
  <si>
    <t>Item</t>
  </si>
  <si>
    <t>Outros Benefícios 1 (Especificar)</t>
  </si>
  <si>
    <t>RAMO:</t>
  </si>
  <si>
    <t>UNIDADE GESTORA (SIGLA):</t>
  </si>
  <si>
    <t>XX/XX/20XX</t>
  </si>
  <si>
    <t>XX/20XX</t>
  </si>
  <si>
    <t>HH:MM</t>
  </si>
  <si>
    <t>X.XX.XXX.XXXXXX/20XX-XX</t>
  </si>
  <si>
    <t>Outras Ausências (Especificar - em %)</t>
  </si>
  <si>
    <t>OBSERVAÇÃO</t>
  </si>
  <si>
    <t>CUSTOS POR EMPREGADO</t>
  </si>
  <si>
    <t>Dias Trabalhados no mês (15 dias intercalados ou 22 dias úteis)</t>
  </si>
  <si>
    <t>VALOR TOTAL DA CATEGORIA</t>
  </si>
  <si>
    <t>CUSTOS REFERENTES AO POSTO</t>
  </si>
  <si>
    <t>CUSTOS REFERENTES AOS SERVIÇOS CONTRATADOS</t>
  </si>
  <si>
    <t>Empregados por Posto</t>
  </si>
  <si>
    <t>DADOS ESTATÍSTICOS</t>
  </si>
  <si>
    <t>ENCARGOS SOCIAIS E TRABALHISTAS</t>
  </si>
  <si>
    <t>Memória de Cálculo</t>
  </si>
  <si>
    <t>(1/12) x 100</t>
  </si>
  <si>
    <t>[(1/3)/12] x 100</t>
  </si>
  <si>
    <t>[(62,93%) x 5,55% x (1/12)] x 100</t>
  </si>
  <si>
    <t xml:space="preserve">(1/12) x 100 </t>
  </si>
  <si>
    <t>[(8/30)/12] x 100</t>
  </si>
  <si>
    <t>[(15/30)/12] x 0,44%} x 100</t>
  </si>
  <si>
    <t>[(62,93%) x 94,45% x (7/30)/12] x 100</t>
  </si>
  <si>
    <t>Participação Masculina(em %)</t>
  </si>
  <si>
    <t>Participação Feminina (em %)</t>
  </si>
  <si>
    <t>{[(20/30)/12] x 1,416% x 45,22%} x 100</t>
  </si>
  <si>
    <t>{[(180/30)/12] x 1,416% x 54,78% x 36,80%} x 100</t>
  </si>
  <si>
    <t>Para mais informações, consulte o Referencial Técnico de Custos, constante da aba PUBLICAÇÕES, na página da Auditoria Interna do MPU na internet (www.auditoria.mpu.mp.br).</t>
  </si>
  <si>
    <t>Nº do Processo</t>
  </si>
  <si>
    <t>Modalidade de Licitação</t>
  </si>
  <si>
    <t>Dias / Horas / Minutos</t>
  </si>
  <si>
    <t>Dias / %</t>
  </si>
  <si>
    <t>1,16% x 40%  x 8,00% x 100</t>
  </si>
  <si>
    <t>Multa do FGTS sobre o Aviso Prévio Trabalhado</t>
  </si>
  <si>
    <t>Encarregado 44h</t>
  </si>
  <si>
    <t>Carregador 44h</t>
  </si>
  <si>
    <t>QUADRO RESUMO - VALOR MENSAL DOS SERVIÇOS E BENEFÍCIOS</t>
  </si>
  <si>
    <t>CATEGORIA</t>
  </si>
  <si>
    <t>QUANTIDADE DE POSTOS</t>
  </si>
  <si>
    <t>UNITÁRIO</t>
  </si>
  <si>
    <t>TOTAL MENSAL DE SERVIÇOS</t>
  </si>
  <si>
    <t>QUANTIDADE DE FUNCIONÁRIOS</t>
  </si>
  <si>
    <t>VALOR ANUAL ESTIMADO DA CONTRATAÇÃO</t>
  </si>
  <si>
    <t>GARANTIA</t>
  </si>
  <si>
    <t>ITEM</t>
  </si>
  <si>
    <t>UNIDADE</t>
  </si>
  <si>
    <t>VALOR UNITÁRIO (R$)</t>
  </si>
  <si>
    <t>QTDE. ANUAL</t>
  </si>
  <si>
    <t>VALOR ANUAL EMPREGADO (R$)</t>
  </si>
  <si>
    <t>VALOR MENSAL EMPREGADO (R$)</t>
  </si>
  <si>
    <t>TOTAL MENSAL POR POSTO (R$)</t>
  </si>
  <si>
    <t>BENEFÍCIOS TRABALHISTAS-PAGAMENTO POR RESSARCIMENTO</t>
  </si>
  <si>
    <t>TOTAL MENSAL DOS BENEFÍCIOS TRABALHISTAS-PAGAMENTO POR RESSARCIMENTO</t>
  </si>
  <si>
    <t>Cordas utilizadas em mudanças</t>
  </si>
  <si>
    <t>DESCRIÇÃO</t>
  </si>
  <si>
    <t>ENTREGA INÍCIO DO CONTRATO</t>
  </si>
  <si>
    <t>REPOSIÇÃO ESTIMADA: ANUAL</t>
  </si>
  <si>
    <t xml:space="preserve">PLANILHA DE PREÇOS- MATERIAIS </t>
  </si>
  <si>
    <t>Tecido em feltro, tipo cobertor, ou material similar, utilizado em mudanças.</t>
  </si>
  <si>
    <t>VALOR TOTAL (R$)</t>
  </si>
  <si>
    <t>SEDE</t>
  </si>
  <si>
    <t>BRASÍLIA II</t>
  </si>
  <si>
    <t>CEILÂNDIA</t>
  </si>
  <si>
    <t>GAMA</t>
  </si>
  <si>
    <t>INFÂNCIA</t>
  </si>
  <si>
    <t>PARANOÁ</t>
  </si>
  <si>
    <t>PLANALTINA</t>
  </si>
  <si>
    <t>SAMAMBAIA</t>
  </si>
  <si>
    <t>SANTA MARIA</t>
  </si>
  <si>
    <t>SOBRADINHO</t>
  </si>
  <si>
    <t>TAGUATINGA</t>
  </si>
  <si>
    <t>VALOR TOTAL DOS MATERIAIS (FORNECIDOS ANUALMENTE EM R$)</t>
  </si>
  <si>
    <t>VALOR MENSAL POR POSTO (R$)</t>
  </si>
  <si>
    <t>PLANILHA DE PREÇOS-UNIFORME</t>
  </si>
  <si>
    <t>UNIFORME-CARREGADOR</t>
  </si>
  <si>
    <t xml:space="preserve">Masculino </t>
  </si>
  <si>
    <t>Camisas tipo “gola polo”, nas cores escuras
(azul, preta, cinza)</t>
  </si>
  <si>
    <t>Meia (par), em algodão, na cor branca e/ou
cinza.</t>
  </si>
  <si>
    <t>Calçado de segurança tipo botina, confeccionada em couro, fechamento em elástico, palmilha de montagem em não tecido montada pelo sistema “strobel”, bico de aço, solado poliuretano e bidensidade</t>
  </si>
  <si>
    <t>Luvas (par) de segurança tricotada em malha de algodão e poliéster, revestimento em latex natural na face palmar e pontas dos dedos, punho tricotado com elástico, acabamento em overloque. Protege quanto a agentes abrasivos, escoriantes, cortantes e
perfurantes</t>
  </si>
  <si>
    <t>unidade</t>
  </si>
  <si>
    <t>par</t>
  </si>
  <si>
    <t>UNIFORME-ENCARREGADA</t>
  </si>
  <si>
    <t>Feminino</t>
  </si>
  <si>
    <t>Camisa social confeccionada em tecido de algodão com elastano, na cor branca, acinturada, manga ¾, gola padre, modelo feminino</t>
  </si>
  <si>
    <t>Calça social, comprida, confeccionada em tecido oxford de 1ª qualidade, na cor preta, com presilhas/passador para cinto, modelo feminino</t>
  </si>
  <si>
    <t>Blazer confeccionado em tecido oxford de 1ª qualidade, forrado, na cor preta, acinturado, manga longa e fechamento com botões, modelo feminino</t>
  </si>
  <si>
    <t>Par de sapato em couro e/ou pelica, na cor preta, solado emborrachado, antiderrapante, salto baixo ou sem salto, bico arredondado, palmilha acolchoada, anti-odor, modelo feminino</t>
  </si>
  <si>
    <t>TOTAL MENSAL FEMININO (R$)</t>
  </si>
  <si>
    <t>Meia fina ¾ na cor preta</t>
  </si>
  <si>
    <t>UNIFORME-ENCARREGADO</t>
  </si>
  <si>
    <t>Masculino</t>
  </si>
  <si>
    <t>TOTAL MENSAL MASCULINO (R$)</t>
  </si>
  <si>
    <t>MÉDIA UNIFORME MASCULINO/FEMININO (R$)</t>
  </si>
  <si>
    <t>Calça social, comprida, confeccionada em tecido oxford de 1ª qualidade, na cor preta, com presilhas/passador para cinto, modelo masculino</t>
  </si>
  <si>
    <t>Camisas social, confeccionada em tecido de algodão com poliéster, manga longa, na cor branca,</t>
  </si>
  <si>
    <t>Paletó confeccionado em tecido oxford de 1ª qualidade, forrado, na cor preta, e fechamento com botões, modelo masculino</t>
  </si>
  <si>
    <t>Par de sapato em couro e/ou pelica, na cor preta, solado emborrachado, antiderrapante, palmilha acolchoada, anti-odor, modelo masculino.</t>
  </si>
  <si>
    <t>Meia social ¾, em poliamida, na cor preta</t>
  </si>
  <si>
    <t>Cinto em couro, na cor preta</t>
  </si>
  <si>
    <t>Plano Ambulatorial</t>
  </si>
  <si>
    <t xml:space="preserve">Seguro de Vida e Assistência Funeral </t>
  </si>
  <si>
    <t xml:space="preserve">Assistência Odontológica </t>
  </si>
  <si>
    <t>VALOR UNITÁRIO               (R$)</t>
  </si>
  <si>
    <t>metro</t>
  </si>
  <si>
    <t>Outros 1 (Especificar)</t>
  </si>
  <si>
    <t>Calça jeans com bolsos na parte frontal e na
parte de trás, em cores escuros, como azul escuro (índigo) e/ou preta</t>
  </si>
  <si>
    <t>Posto</t>
  </si>
  <si>
    <t>Classificação Brasileira de Ocupações (CBO)-Encarregado 44h</t>
  </si>
  <si>
    <t>Classificação Brasileira de Ocupações (CBO)-Carregador 44h</t>
  </si>
  <si>
    <t>A.1</t>
  </si>
  <si>
    <t>A.2</t>
  </si>
  <si>
    <t>B.1</t>
  </si>
  <si>
    <t>B.2</t>
  </si>
  <si>
    <r>
      <t>Uniformes-</t>
    </r>
    <r>
      <rPr>
        <b/>
        <sz val="11"/>
        <rFont val="Segoe UI Light"/>
        <family val="2"/>
      </rPr>
      <t>Encarregado 44h</t>
    </r>
  </si>
  <si>
    <r>
      <t>Uniformes-</t>
    </r>
    <r>
      <rPr>
        <b/>
        <sz val="11"/>
        <rFont val="Segoe UI Light"/>
        <family val="2"/>
      </rPr>
      <t>Carregador 44h</t>
    </r>
  </si>
  <si>
    <r>
      <t>Salário-Base (em R$)-</t>
    </r>
    <r>
      <rPr>
        <b/>
        <sz val="11"/>
        <rFont val="Segoe UI Light"/>
        <family val="2"/>
      </rPr>
      <t>Encarregado 44h</t>
    </r>
  </si>
  <si>
    <r>
      <t>Salário-Base (em R$)-</t>
    </r>
    <r>
      <rPr>
        <b/>
        <sz val="11"/>
        <rFont val="Segoe UI Light"/>
        <family val="2"/>
      </rPr>
      <t>Carregador 44h</t>
    </r>
  </si>
  <si>
    <r>
      <t>Outras Remunerações 1 (Especificar)-</t>
    </r>
    <r>
      <rPr>
        <b/>
        <sz val="11"/>
        <rFont val="Segoe UI Light"/>
        <family val="2"/>
      </rPr>
      <t>Encarregado 44h</t>
    </r>
  </si>
  <si>
    <r>
      <t>Outras Remunerações 1 (Especificar)-</t>
    </r>
    <r>
      <rPr>
        <b/>
        <sz val="11"/>
        <rFont val="Segoe UI Light"/>
        <family val="2"/>
      </rPr>
      <t>Carregador 44h</t>
    </r>
  </si>
  <si>
    <r>
      <t>Outros 2 (Especificar)-</t>
    </r>
    <r>
      <rPr>
        <b/>
        <sz val="11"/>
        <rFont val="Segoe UI Light"/>
        <family val="2"/>
      </rPr>
      <t>Encarregado 44h</t>
    </r>
  </si>
  <si>
    <r>
      <t>Outros 2 (Especificar)-</t>
    </r>
    <r>
      <rPr>
        <b/>
        <sz val="11"/>
        <rFont val="Segoe UI Light"/>
        <family val="2"/>
      </rPr>
      <t>Carregador 44h</t>
    </r>
  </si>
  <si>
    <t>Descrição</t>
  </si>
  <si>
    <t>Valor unitário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</si>
</sst>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164" formatCode="#,##0.00_ ;\-#,##0.00\ "/>
    <numFmt numFmtId="165" formatCode="#,##0.0"/>
    <numFmt numFmtId="166" formatCode="0.0000000000000000E+00"/>
  </numFmts>
  <fonts count="35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name val="Segoe UI Light"/>
      <family val="2"/>
    </font>
    <font>
      <sz val="14"/>
      <name val="Segoe UI Light"/>
      <family val="2"/>
    </font>
    <font>
      <sz val="8"/>
      <name val="Segoe UI Light"/>
      <family val="2"/>
    </font>
    <font>
      <b/>
      <sz val="11"/>
      <name val="Segoe UI Light"/>
      <family val="2"/>
    </font>
    <font>
      <b/>
      <sz val="16"/>
      <name val="Segoe UI Light"/>
      <family val="2"/>
    </font>
    <font>
      <i/>
      <sz val="10"/>
      <name val="Segoe UI Light"/>
      <family val="2"/>
    </font>
    <font>
      <b/>
      <sz val="11"/>
      <color indexed="9"/>
      <name val="Segoe UI Light"/>
      <family val="2"/>
    </font>
    <font>
      <sz val="11"/>
      <color indexed="10"/>
      <name val="Segoe UI Light"/>
      <family val="2"/>
    </font>
    <font>
      <b/>
      <sz val="16"/>
      <color indexed="16"/>
      <name val="Segoe UI Light"/>
      <family val="2"/>
    </font>
    <font>
      <sz val="11"/>
      <color indexed="60"/>
      <name val="Segoe UI Light"/>
      <family val="2"/>
    </font>
    <font>
      <i/>
      <sz val="10"/>
      <color indexed="9"/>
      <name val="Segoe UI Light"/>
      <family val="2"/>
    </font>
    <font>
      <b/>
      <sz val="14"/>
      <color indexed="60"/>
      <name val="Segoe UI Light"/>
      <family val="2"/>
    </font>
    <font>
      <b/>
      <sz val="11"/>
      <color indexed="16"/>
      <name val="Segoe UI Light"/>
      <family val="2"/>
    </font>
    <font>
      <b/>
      <sz val="14"/>
      <color indexed="16"/>
      <name val="Segoe UI Light"/>
      <family val="2"/>
    </font>
    <font>
      <b/>
      <sz val="12"/>
      <color indexed="16"/>
      <name val="Segoe UI Light"/>
      <family val="2"/>
    </font>
    <font>
      <b/>
      <sz val="20"/>
      <color indexed="60"/>
      <name val="Segoe UI Light"/>
      <family val="2"/>
    </font>
  </fonts>
  <fills count="3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53"/>
        <bgColor indexed="64"/>
      </patternFill>
    </fill>
    <fill>
      <patternFill patternType="solid">
        <fgColor indexed="53"/>
        <bgColor indexed="41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26"/>
      </patternFill>
    </fill>
    <fill>
      <patternFill patternType="solid">
        <fgColor indexed="53"/>
        <bgColor indexed="31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26"/>
      </patternFill>
    </fill>
    <fill>
      <patternFill patternType="solid">
        <fgColor indexed="51"/>
        <bgColor indexed="26"/>
      </patternFill>
    </fill>
    <fill>
      <patternFill patternType="solid">
        <fgColor indexed="50"/>
        <bgColor indexed="64"/>
      </patternFill>
    </fill>
    <fill>
      <patternFill patternType="solid">
        <fgColor indexed="50"/>
        <b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0" fontId="8" fillId="3" borderId="0" applyNumberFormat="0" applyBorder="0" applyAlignment="0" applyProtection="0"/>
    <xf numFmtId="44" fontId="18" fillId="0" borderId="0" applyFont="0" applyFill="0" applyBorder="0" applyAlignment="0" applyProtection="0"/>
    <xf numFmtId="0" fontId="9" fillId="22" borderId="0" applyNumberFormat="0" applyBorder="0" applyAlignment="0" applyProtection="0"/>
    <xf numFmtId="0" fontId="18" fillId="23" borderId="4" applyNumberFormat="0" applyAlignment="0" applyProtection="0"/>
    <xf numFmtId="9" fontId="18" fillId="0" borderId="0" applyFont="0" applyFill="0" applyBorder="0" applyAlignment="0" applyProtection="0"/>
    <xf numFmtId="0" fontId="10" fillId="16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</cellStyleXfs>
  <cellXfs count="220">
    <xf numFmtId="0" fontId="0" fillId="0" borderId="0" xfId="0"/>
    <xf numFmtId="0" fontId="25" fillId="24" borderId="4" xfId="0" applyFont="1" applyFill="1" applyBorder="1" applyAlignment="1">
      <alignment horizontal="center" vertical="center"/>
    </xf>
    <xf numFmtId="0" fontId="25" fillId="24" borderId="4" xfId="0" applyFont="1" applyFill="1" applyBorder="1" applyAlignment="1">
      <alignment horizontal="center" vertical="center" wrapText="1"/>
    </xf>
    <xf numFmtId="0" fontId="25" fillId="25" borderId="4" xfId="0" applyFont="1" applyFill="1" applyBorder="1" applyAlignment="1">
      <alignment horizontal="center" vertical="center" wrapText="1"/>
    </xf>
    <xf numFmtId="4" fontId="19" fillId="26" borderId="4" xfId="0" applyNumberFormat="1" applyFont="1" applyFill="1" applyBorder="1" applyAlignment="1">
      <alignment horizontal="right" vertical="center" wrapText="1"/>
    </xf>
    <xf numFmtId="0" fontId="22" fillId="27" borderId="0" xfId="0" applyFont="1" applyFill="1"/>
    <xf numFmtId="0" fontId="22" fillId="28" borderId="0" xfId="0" applyFont="1" applyFill="1" applyAlignment="1">
      <alignment horizontal="left" vertical="center" wrapText="1"/>
    </xf>
    <xf numFmtId="0" fontId="19" fillId="28" borderId="0" xfId="0" applyFont="1" applyFill="1"/>
    <xf numFmtId="39" fontId="19" fillId="28" borderId="0" xfId="0" applyNumberFormat="1" applyFont="1" applyFill="1" applyAlignment="1">
      <alignment horizontal="right"/>
    </xf>
    <xf numFmtId="0" fontId="19" fillId="28" borderId="0" xfId="0" applyFont="1" applyFill="1" applyAlignment="1">
      <alignment horizontal="left" vertical="center" wrapText="1"/>
    </xf>
    <xf numFmtId="0" fontId="23" fillId="28" borderId="0" xfId="0" applyFont="1" applyFill="1" applyAlignment="1">
      <alignment horizontal="left" vertical="center"/>
    </xf>
    <xf numFmtId="0" fontId="19" fillId="28" borderId="0" xfId="0" applyFont="1" applyFill="1" applyAlignment="1">
      <alignment horizontal="center"/>
    </xf>
    <xf numFmtId="0" fontId="19" fillId="27" borderId="0" xfId="0" applyFont="1" applyFill="1"/>
    <xf numFmtId="39" fontId="22" fillId="28" borderId="0" xfId="0" applyNumberFormat="1" applyFont="1" applyFill="1" applyAlignment="1">
      <alignment horizontal="center" vertical="center" wrapText="1"/>
    </xf>
    <xf numFmtId="39" fontId="19" fillId="28" borderId="0" xfId="0" applyNumberFormat="1" applyFont="1" applyFill="1" applyAlignment="1">
      <alignment horizontal="center"/>
    </xf>
    <xf numFmtId="0" fontId="22" fillId="28" borderId="0" xfId="0" applyFont="1" applyFill="1" applyAlignment="1">
      <alignment horizontal="center" vertical="center" wrapText="1"/>
    </xf>
    <xf numFmtId="39" fontId="19" fillId="28" borderId="0" xfId="0" applyNumberFormat="1" applyFont="1" applyFill="1" applyAlignment="1">
      <alignment horizontal="center" vertical="center" wrapText="1"/>
    </xf>
    <xf numFmtId="49" fontId="19" fillId="29" borderId="4" xfId="0" applyNumberFormat="1" applyFont="1" applyFill="1" applyBorder="1" applyAlignment="1" applyProtection="1">
      <alignment horizontal="center"/>
      <protection locked="0"/>
    </xf>
    <xf numFmtId="0" fontId="25" fillId="24" borderId="4" xfId="0" applyFont="1" applyFill="1" applyBorder="1" applyAlignment="1">
      <alignment horizontal="center"/>
    </xf>
    <xf numFmtId="14" fontId="19" fillId="29" borderId="4" xfId="0" applyNumberFormat="1" applyFont="1" applyFill="1" applyBorder="1" applyAlignment="1" applyProtection="1">
      <alignment horizontal="center"/>
      <protection locked="0"/>
    </xf>
    <xf numFmtId="0" fontId="19" fillId="26" borderId="4" xfId="0" applyFont="1" applyFill="1" applyBorder="1"/>
    <xf numFmtId="0" fontId="25" fillId="28" borderId="0" xfId="0" applyFont="1" applyFill="1" applyAlignment="1">
      <alignment horizontal="center"/>
    </xf>
    <xf numFmtId="0" fontId="19" fillId="28" borderId="0" xfId="0" applyFont="1" applyFill="1" applyAlignment="1">
      <alignment horizontal="left"/>
    </xf>
    <xf numFmtId="0" fontId="19" fillId="26" borderId="4" xfId="0" applyFont="1" applyFill="1" applyBorder="1" applyAlignment="1">
      <alignment horizontal="center"/>
    </xf>
    <xf numFmtId="0" fontId="29" fillId="24" borderId="4" xfId="0" applyFont="1" applyFill="1" applyBorder="1" applyAlignment="1">
      <alignment horizontal="center" vertical="center" wrapText="1"/>
    </xf>
    <xf numFmtId="39" fontId="24" fillId="26" borderId="4" xfId="0" applyNumberFormat="1" applyFont="1" applyFill="1" applyBorder="1" applyAlignment="1">
      <alignment horizontal="center" vertical="center" wrapText="1"/>
    </xf>
    <xf numFmtId="0" fontId="30" fillId="28" borderId="0" xfId="0" applyFont="1" applyFill="1" applyAlignment="1">
      <alignment horizontal="left" vertical="center"/>
    </xf>
    <xf numFmtId="0" fontId="28" fillId="28" borderId="0" xfId="0" applyFont="1" applyFill="1" applyAlignment="1">
      <alignment horizontal="left" vertical="center" wrapText="1"/>
    </xf>
    <xf numFmtId="39" fontId="28" fillId="28" borderId="0" xfId="0" applyNumberFormat="1" applyFont="1" applyFill="1" applyAlignment="1">
      <alignment horizontal="center" vertical="center" wrapText="1"/>
    </xf>
    <xf numFmtId="39" fontId="19" fillId="26" borderId="4" xfId="0" applyNumberFormat="1" applyFont="1" applyFill="1" applyBorder="1" applyAlignment="1">
      <alignment horizontal="right" vertical="center" wrapText="1"/>
    </xf>
    <xf numFmtId="39" fontId="25" fillId="24" borderId="4" xfId="0" applyNumberFormat="1" applyFont="1" applyFill="1" applyBorder="1" applyAlignment="1">
      <alignment horizontal="right" vertical="center" wrapText="1"/>
    </xf>
    <xf numFmtId="2" fontId="19" fillId="26" borderId="4" xfId="0" applyNumberFormat="1" applyFont="1" applyFill="1" applyBorder="1" applyAlignment="1">
      <alignment horizontal="center" vertical="center"/>
    </xf>
    <xf numFmtId="2" fontId="25" fillId="24" borderId="4" xfId="0" applyNumberFormat="1" applyFont="1" applyFill="1" applyBorder="1" applyAlignment="1">
      <alignment horizontal="center" vertical="center"/>
    </xf>
    <xf numFmtId="4" fontId="25" fillId="30" borderId="4" xfId="0" applyNumberFormat="1" applyFont="1" applyFill="1" applyBorder="1" applyAlignment="1">
      <alignment horizontal="right" vertical="center" wrapText="1"/>
    </xf>
    <xf numFmtId="4" fontId="25" fillId="24" borderId="4" xfId="0" applyNumberFormat="1" applyFont="1" applyFill="1" applyBorder="1" applyAlignment="1">
      <alignment horizontal="right"/>
    </xf>
    <xf numFmtId="4" fontId="25" fillId="24" borderId="4" xfId="0" applyNumberFormat="1" applyFont="1" applyFill="1" applyBorder="1" applyAlignment="1">
      <alignment horizontal="right" vertical="center"/>
    </xf>
    <xf numFmtId="2" fontId="19" fillId="26" borderId="4" xfId="0" applyNumberFormat="1" applyFont="1" applyFill="1" applyBorder="1" applyAlignment="1">
      <alignment horizontal="center" vertical="center" wrapText="1"/>
    </xf>
    <xf numFmtId="39" fontId="19" fillId="26" borderId="4" xfId="0" applyNumberFormat="1" applyFont="1" applyFill="1" applyBorder="1" applyAlignment="1">
      <alignment horizontal="center" vertical="center" wrapText="1"/>
    </xf>
    <xf numFmtId="0" fontId="31" fillId="28" borderId="0" xfId="0" applyFont="1" applyFill="1" applyAlignment="1">
      <alignment horizontal="left"/>
    </xf>
    <xf numFmtId="0" fontId="32" fillId="28" borderId="0" xfId="0" applyFont="1" applyFill="1" applyAlignment="1">
      <alignment horizontal="left" vertical="center"/>
    </xf>
    <xf numFmtId="164" fontId="19" fillId="26" borderId="4" xfId="0" applyNumberFormat="1" applyFont="1" applyFill="1" applyBorder="1" applyAlignment="1">
      <alignment horizontal="center" vertical="center" wrapText="1"/>
    </xf>
    <xf numFmtId="4" fontId="19" fillId="31" borderId="4" xfId="0" applyNumberFormat="1" applyFont="1" applyFill="1" applyBorder="1" applyAlignment="1">
      <alignment horizontal="right" vertical="center" wrapText="1"/>
    </xf>
    <xf numFmtId="39" fontId="19" fillId="31" borderId="4" xfId="0" applyNumberFormat="1" applyFont="1" applyFill="1" applyBorder="1" applyAlignment="1">
      <alignment horizontal="right" vertical="center" wrapText="1"/>
    </xf>
    <xf numFmtId="2" fontId="19" fillId="31" borderId="4" xfId="0" applyNumberFormat="1" applyFont="1" applyFill="1" applyBorder="1" applyAlignment="1">
      <alignment horizontal="center" vertical="center" wrapText="1"/>
    </xf>
    <xf numFmtId="39" fontId="19" fillId="31" borderId="4" xfId="0" applyNumberFormat="1" applyFont="1" applyFill="1" applyBorder="1" applyAlignment="1">
      <alignment horizontal="center" vertical="center" wrapText="1"/>
    </xf>
    <xf numFmtId="39" fontId="24" fillId="31" borderId="4" xfId="0" applyNumberFormat="1" applyFont="1" applyFill="1" applyBorder="1" applyAlignment="1">
      <alignment horizontal="center" vertical="center" wrapText="1"/>
    </xf>
    <xf numFmtId="39" fontId="24" fillId="26" borderId="4" xfId="0" applyNumberFormat="1" applyFont="1" applyFill="1" applyBorder="1" applyAlignment="1">
      <alignment horizontal="right" vertical="center" wrapText="1"/>
    </xf>
    <xf numFmtId="39" fontId="24" fillId="31" borderId="4" xfId="0" applyNumberFormat="1" applyFont="1" applyFill="1" applyBorder="1" applyAlignment="1">
      <alignment horizontal="right" vertical="center" wrapText="1"/>
    </xf>
    <xf numFmtId="0" fontId="19" fillId="31" borderId="4" xfId="0" applyFont="1" applyFill="1" applyBorder="1" applyAlignment="1">
      <alignment horizontal="center"/>
    </xf>
    <xf numFmtId="0" fontId="25" fillId="24" borderId="10" xfId="0" applyFont="1" applyFill="1" applyBorder="1" applyAlignment="1">
      <alignment horizontal="center" vertical="center" wrapText="1"/>
    </xf>
    <xf numFmtId="0" fontId="19" fillId="32" borderId="4" xfId="0" applyFont="1" applyFill="1" applyBorder="1" applyAlignment="1">
      <alignment horizontal="justify" vertical="center" wrapText="1"/>
    </xf>
    <xf numFmtId="4" fontId="19" fillId="29" borderId="4" xfId="0" applyNumberFormat="1" applyFont="1" applyFill="1" applyBorder="1" applyAlignment="1" applyProtection="1">
      <alignment horizontal="right"/>
      <protection locked="0"/>
    </xf>
    <xf numFmtId="0" fontId="19" fillId="29" borderId="4" xfId="0" applyFont="1" applyFill="1" applyBorder="1" applyAlignment="1" applyProtection="1">
      <alignment horizontal="center" vertical="center"/>
      <protection locked="0"/>
    </xf>
    <xf numFmtId="3" fontId="19" fillId="26" borderId="4" xfId="0" applyNumberFormat="1" applyFont="1" applyFill="1" applyBorder="1" applyAlignment="1">
      <alignment horizontal="right" vertical="center" wrapText="1"/>
    </xf>
    <xf numFmtId="165" fontId="19" fillId="26" borderId="4" xfId="0" applyNumberFormat="1" applyFont="1" applyFill="1" applyBorder="1" applyAlignment="1">
      <alignment horizontal="right" vertical="center" wrapText="1"/>
    </xf>
    <xf numFmtId="3" fontId="19" fillId="31" borderId="4" xfId="0" applyNumberFormat="1" applyFont="1" applyFill="1" applyBorder="1" applyAlignment="1">
      <alignment horizontal="right" vertical="center" wrapText="1"/>
    </xf>
    <xf numFmtId="165" fontId="19" fillId="31" borderId="4" xfId="0" applyNumberFormat="1" applyFont="1" applyFill="1" applyBorder="1" applyAlignment="1">
      <alignment horizontal="right" vertical="center" wrapText="1"/>
    </xf>
    <xf numFmtId="37" fontId="19" fillId="31" borderId="4" xfId="0" applyNumberFormat="1" applyFont="1" applyFill="1" applyBorder="1" applyAlignment="1">
      <alignment horizontal="right" vertical="center" wrapText="1"/>
    </xf>
    <xf numFmtId="37" fontId="19" fillId="26" borderId="4" xfId="0" applyNumberFormat="1" applyFont="1" applyFill="1" applyBorder="1" applyAlignment="1">
      <alignment horizontal="right" vertical="center" wrapText="1"/>
    </xf>
    <xf numFmtId="0" fontId="20" fillId="29" borderId="10" xfId="0" applyFont="1" applyFill="1" applyBorder="1" applyProtection="1">
      <protection locked="0"/>
    </xf>
    <xf numFmtId="39" fontId="19" fillId="24" borderId="4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10" xfId="0" applyFont="1" applyFill="1" applyBorder="1" applyAlignment="1">
      <alignment horizontal="center" vertical="center"/>
    </xf>
    <xf numFmtId="0" fontId="25" fillId="24" borderId="11" xfId="0" applyFont="1" applyFill="1" applyBorder="1" applyAlignment="1">
      <alignment horizontal="center" vertical="center"/>
    </xf>
    <xf numFmtId="0" fontId="19" fillId="29" borderId="10" xfId="0" applyFont="1" applyFill="1" applyBorder="1" applyAlignment="1" applyProtection="1">
      <alignment horizontal="center" vertical="center" wrapText="1"/>
      <protection locked="0"/>
    </xf>
    <xf numFmtId="0" fontId="19" fillId="26" borderId="4" xfId="0" applyFont="1" applyFill="1" applyBorder="1" applyAlignment="1">
      <alignment horizontal="left" vertical="center" wrapText="1"/>
    </xf>
    <xf numFmtId="14" fontId="20" fillId="32" borderId="10" xfId="0" applyNumberFormat="1" applyFont="1" applyFill="1" applyBorder="1" applyAlignment="1">
      <alignment horizontal="right"/>
    </xf>
    <xf numFmtId="14" fontId="20" fillId="32" borderId="10" xfId="0" applyNumberFormat="1" applyFont="1" applyFill="1" applyBorder="1"/>
    <xf numFmtId="0" fontId="21" fillId="27" borderId="0" xfId="0" applyFont="1" applyFill="1"/>
    <xf numFmtId="14" fontId="19" fillId="33" borderId="4" xfId="0" applyNumberFormat="1" applyFont="1" applyFill="1" applyBorder="1" applyAlignment="1">
      <alignment horizontal="center"/>
    </xf>
    <xf numFmtId="2" fontId="19" fillId="33" borderId="4" xfId="0" applyNumberFormat="1" applyFont="1" applyFill="1" applyBorder="1" applyAlignment="1">
      <alignment horizontal="center"/>
    </xf>
    <xf numFmtId="0" fontId="27" fillId="28" borderId="0" xfId="0" applyFont="1" applyFill="1" applyAlignment="1">
      <alignment vertical="center"/>
    </xf>
    <xf numFmtId="0" fontId="19" fillId="28" borderId="0" xfId="0" applyFont="1" applyFill="1" applyAlignment="1">
      <alignment vertical="top"/>
    </xf>
    <xf numFmtId="0" fontId="21" fillId="27" borderId="0" xfId="0" applyFont="1" applyFill="1" applyAlignment="1">
      <alignment vertical="top"/>
    </xf>
    <xf numFmtId="0" fontId="28" fillId="28" borderId="0" xfId="0" applyFont="1" applyFill="1"/>
    <xf numFmtId="0" fontId="26" fillId="28" borderId="0" xfId="0" applyFont="1" applyFill="1"/>
    <xf numFmtId="0" fontId="26" fillId="28" borderId="0" xfId="0" applyFont="1" applyFill="1" applyAlignment="1">
      <alignment wrapText="1"/>
    </xf>
    <xf numFmtId="0" fontId="26" fillId="28" borderId="0" xfId="0" applyFont="1" applyFill="1" applyAlignment="1">
      <alignment horizontal="center" wrapText="1"/>
    </xf>
    <xf numFmtId="0" fontId="19" fillId="28" borderId="0" xfId="0" applyFont="1" applyFill="1" applyAlignment="1">
      <alignment wrapText="1"/>
    </xf>
    <xf numFmtId="37" fontId="19" fillId="31" borderId="4" xfId="0" applyNumberFormat="1" applyFont="1" applyFill="1" applyBorder="1" applyAlignment="1">
      <alignment horizontal="center"/>
    </xf>
    <xf numFmtId="0" fontId="22" fillId="27" borderId="0" xfId="0" applyFont="1" applyFill="1" applyAlignment="1">
      <alignment horizontal="left"/>
    </xf>
    <xf numFmtId="49" fontId="19" fillId="27" borderId="0" xfId="0" applyNumberFormat="1" applyFont="1" applyFill="1" applyAlignment="1">
      <alignment horizontal="center"/>
    </xf>
    <xf numFmtId="0" fontId="21" fillId="27" borderId="0" xfId="0" applyFont="1" applyFill="1" applyAlignment="1">
      <alignment horizontal="center" vertical="center"/>
    </xf>
    <xf numFmtId="14" fontId="19" fillId="27" borderId="0" xfId="0" applyNumberFormat="1" applyFont="1" applyFill="1" applyAlignment="1">
      <alignment horizontal="center"/>
    </xf>
    <xf numFmtId="0" fontId="27" fillId="28" borderId="0" xfId="0" applyFont="1" applyFill="1"/>
    <xf numFmtId="0" fontId="19" fillId="28" borderId="0" xfId="0" applyFont="1" applyFill="1" applyAlignment="1">
      <alignment vertical="center" wrapText="1"/>
    </xf>
    <xf numFmtId="0" fontId="19" fillId="29" borderId="4" xfId="0" applyFont="1" applyFill="1" applyBorder="1" applyAlignment="1" applyProtection="1">
      <alignment horizontal="center" vertical="center" wrapText="1"/>
      <protection locked="0"/>
    </xf>
    <xf numFmtId="0" fontId="19" fillId="31" borderId="4" xfId="0" applyFont="1" applyFill="1" applyBorder="1"/>
    <xf numFmtId="14" fontId="19" fillId="32" borderId="4" xfId="0" applyNumberFormat="1" applyFont="1" applyFill="1" applyBorder="1" applyAlignment="1">
      <alignment horizontal="center"/>
    </xf>
    <xf numFmtId="49" fontId="19" fillId="29" borderId="10" xfId="0" applyNumberFormat="1" applyFont="1" applyFill="1" applyBorder="1" applyAlignment="1" applyProtection="1">
      <alignment horizontal="left" vertical="center" wrapText="1"/>
      <protection locked="0"/>
    </xf>
    <xf numFmtId="0" fontId="20" fillId="32" borderId="10" xfId="0" applyFont="1" applyFill="1" applyBorder="1" applyAlignment="1">
      <alignment horizontal="right"/>
    </xf>
    <xf numFmtId="49" fontId="19" fillId="32" borderId="4" xfId="0" applyNumberFormat="1" applyFont="1" applyFill="1" applyBorder="1" applyAlignment="1">
      <alignment horizontal="center"/>
    </xf>
    <xf numFmtId="4" fontId="19" fillId="27" borderId="0" xfId="0" applyNumberFormat="1" applyFont="1" applyFill="1"/>
    <xf numFmtId="9" fontId="19" fillId="28" borderId="0" xfId="34" applyFont="1" applyFill="1"/>
    <xf numFmtId="10" fontId="19" fillId="28" borderId="0" xfId="34" applyNumberFormat="1" applyFont="1" applyFill="1"/>
    <xf numFmtId="0" fontId="25" fillId="25" borderId="12" xfId="0" applyFont="1" applyFill="1" applyBorder="1" applyAlignment="1">
      <alignment horizontal="center" vertical="center" wrapText="1"/>
    </xf>
    <xf numFmtId="0" fontId="19" fillId="31" borderId="13" xfId="0" applyFont="1" applyFill="1" applyBorder="1" applyAlignment="1">
      <alignment horizontal="center"/>
    </xf>
    <xf numFmtId="4" fontId="19" fillId="31" borderId="13" xfId="0" applyNumberFormat="1" applyFont="1" applyFill="1" applyBorder="1" applyAlignment="1">
      <alignment horizontal="right"/>
    </xf>
    <xf numFmtId="0" fontId="19" fillId="26" borderId="10" xfId="0" applyFont="1" applyFill="1" applyBorder="1" applyAlignment="1">
      <alignment horizontal="center"/>
    </xf>
    <xf numFmtId="4" fontId="19" fillId="26" borderId="10" xfId="0" applyNumberFormat="1" applyFont="1" applyFill="1" applyBorder="1" applyAlignment="1">
      <alignment horizontal="right"/>
    </xf>
    <xf numFmtId="0" fontId="25" fillId="25" borderId="12" xfId="0" applyFont="1" applyFill="1" applyBorder="1" applyAlignment="1">
      <alignment vertical="center" wrapText="1"/>
    </xf>
    <xf numFmtId="0" fontId="19" fillId="31" borderId="14" xfId="0" applyFont="1" applyFill="1" applyBorder="1" applyAlignment="1">
      <alignment horizontal="center" vertical="center"/>
    </xf>
    <xf numFmtId="0" fontId="19" fillId="31" borderId="14" xfId="0" applyFont="1" applyFill="1" applyBorder="1" applyAlignment="1">
      <alignment vertical="distributed" wrapText="1"/>
    </xf>
    <xf numFmtId="0" fontId="19" fillId="31" borderId="14" xfId="0" applyFont="1" applyFill="1" applyBorder="1" applyAlignment="1">
      <alignment horizontal="center" vertical="distributed"/>
    </xf>
    <xf numFmtId="4" fontId="19" fillId="31" borderId="13" xfId="0" applyNumberFormat="1" applyFont="1" applyFill="1" applyBorder="1" applyAlignment="1">
      <alignment horizontal="right" vertical="center"/>
    </xf>
    <xf numFmtId="0" fontId="19" fillId="26" borderId="10" xfId="0" applyFont="1" applyFill="1" applyBorder="1" applyAlignment="1">
      <alignment horizontal="center" vertical="center"/>
    </xf>
    <xf numFmtId="0" fontId="19" fillId="32" borderId="10" xfId="0" applyFont="1" applyFill="1" applyBorder="1" applyAlignment="1">
      <alignment vertical="center" wrapText="1"/>
    </xf>
    <xf numFmtId="0" fontId="19" fillId="32" borderId="15" xfId="0" applyFont="1" applyFill="1" applyBorder="1" applyAlignment="1">
      <alignment horizontal="center" vertical="center" wrapText="1"/>
    </xf>
    <xf numFmtId="4" fontId="19" fillId="26" borderId="10" xfId="0" applyNumberFormat="1" applyFont="1" applyFill="1" applyBorder="1" applyAlignment="1">
      <alignment horizontal="right" vertical="center"/>
    </xf>
    <xf numFmtId="0" fontId="19" fillId="32" borderId="10" xfId="0" applyFont="1" applyFill="1" applyBorder="1" applyAlignment="1">
      <alignment vertical="distributed" wrapText="1"/>
    </xf>
    <xf numFmtId="0" fontId="19" fillId="32" borderId="15" xfId="0" applyFont="1" applyFill="1" applyBorder="1" applyAlignment="1">
      <alignment horizontal="center" vertical="distributed" wrapText="1"/>
    </xf>
    <xf numFmtId="4" fontId="0" fillId="0" borderId="0" xfId="0" applyNumberFormat="1"/>
    <xf numFmtId="0" fontId="25" fillId="25" borderId="12" xfId="0" applyFont="1" applyFill="1" applyBorder="1" applyAlignment="1">
      <alignment horizontal="center" vertical="center" textRotation="90" wrapText="1"/>
    </xf>
    <xf numFmtId="2" fontId="0" fillId="0" borderId="0" xfId="0" applyNumberFormat="1"/>
    <xf numFmtId="4" fontId="19" fillId="34" borderId="4" xfId="0" applyNumberFormat="1" applyFont="1" applyFill="1" applyBorder="1" applyAlignment="1" applyProtection="1">
      <alignment horizontal="right" vertical="center" wrapText="1"/>
      <protection locked="0"/>
    </xf>
    <xf numFmtId="39" fontId="19" fillId="34" borderId="4" xfId="0" applyNumberFormat="1" applyFont="1" applyFill="1" applyBorder="1" applyAlignment="1" applyProtection="1">
      <alignment horizontal="right" vertical="center" wrapText="1"/>
      <protection locked="0"/>
    </xf>
    <xf numFmtId="37" fontId="19" fillId="34" borderId="4" xfId="0" applyNumberFormat="1" applyFont="1" applyFill="1" applyBorder="1" applyAlignment="1" applyProtection="1">
      <alignment horizontal="right" vertical="center" wrapText="1"/>
      <protection locked="0"/>
    </xf>
    <xf numFmtId="39" fontId="19" fillId="34" borderId="4" xfId="0" applyNumberFormat="1" applyFont="1" applyFill="1" applyBorder="1" applyAlignment="1" applyProtection="1">
      <alignment vertical="center" wrapText="1"/>
      <protection locked="0"/>
    </xf>
    <xf numFmtId="4" fontId="19" fillId="34" borderId="14" xfId="0" applyNumberFormat="1" applyFont="1" applyFill="1" applyBorder="1" applyAlignment="1">
      <alignment horizontal="right" vertical="center"/>
    </xf>
    <xf numFmtId="4" fontId="19" fillId="35" borderId="11" xfId="0" applyNumberFormat="1" applyFont="1" applyFill="1" applyBorder="1" applyAlignment="1">
      <alignment horizontal="right" vertical="center" wrapText="1"/>
    </xf>
    <xf numFmtId="4" fontId="19" fillId="34" borderId="13" xfId="0" applyNumberFormat="1" applyFont="1" applyFill="1" applyBorder="1" applyAlignment="1">
      <alignment horizontal="right" vertical="center"/>
    </xf>
    <xf numFmtId="4" fontId="19" fillId="34" borderId="10" xfId="0" applyNumberFormat="1" applyFont="1" applyFill="1" applyBorder="1" applyAlignment="1">
      <alignment horizontal="right" vertical="center"/>
    </xf>
    <xf numFmtId="44" fontId="26" fillId="28" borderId="0" xfId="31" applyFont="1" applyFill="1"/>
    <xf numFmtId="44" fontId="0" fillId="0" borderId="0" xfId="31" applyFont="1"/>
    <xf numFmtId="44" fontId="0" fillId="0" borderId="0" xfId="0" applyNumberFormat="1"/>
    <xf numFmtId="2" fontId="19" fillId="28" borderId="0" xfId="0" applyNumberFormat="1" applyFont="1" applyFill="1"/>
    <xf numFmtId="44" fontId="19" fillId="28" borderId="0" xfId="31" applyFont="1" applyFill="1"/>
    <xf numFmtId="166" fontId="26" fillId="28" borderId="0" xfId="0" applyNumberFormat="1" applyFont="1" applyFill="1"/>
    <xf numFmtId="0" fontId="19" fillId="33" borderId="4" xfId="0" applyFont="1" applyFill="1" applyBorder="1" applyAlignment="1">
      <alignment horizontal="left"/>
    </xf>
    <xf numFmtId="0" fontId="19" fillId="29" borderId="4" xfId="0" applyFont="1" applyFill="1" applyBorder="1" applyAlignment="1" applyProtection="1">
      <alignment horizontal="center"/>
      <protection locked="0"/>
    </xf>
    <xf numFmtId="49" fontId="19" fillId="29" borderId="10" xfId="0" applyNumberFormat="1" applyFont="1" applyFill="1" applyBorder="1" applyAlignment="1" applyProtection="1">
      <alignment horizontal="center"/>
      <protection locked="0"/>
    </xf>
    <xf numFmtId="49" fontId="19" fillId="29" borderId="11" xfId="0" applyNumberFormat="1" applyFont="1" applyFill="1" applyBorder="1" applyAlignment="1" applyProtection="1">
      <alignment horizontal="center"/>
      <protection locked="0"/>
    </xf>
    <xf numFmtId="0" fontId="25" fillId="24" borderId="14" xfId="0" applyFont="1" applyFill="1" applyBorder="1" applyAlignment="1">
      <alignment horizontal="left"/>
    </xf>
    <xf numFmtId="0" fontId="19" fillId="32" borderId="4" xfId="0" applyFont="1" applyFill="1" applyBorder="1" applyAlignment="1">
      <alignment horizontal="left"/>
    </xf>
    <xf numFmtId="0" fontId="19" fillId="29" borderId="4" xfId="0" applyFont="1" applyFill="1" applyBorder="1" applyAlignment="1" applyProtection="1">
      <alignment horizontal="right"/>
      <protection locked="0"/>
    </xf>
    <xf numFmtId="0" fontId="19" fillId="29" borderId="4" xfId="0" applyFont="1" applyFill="1" applyBorder="1" applyAlignment="1" applyProtection="1">
      <alignment horizontal="left" vertical="center"/>
      <protection locked="0"/>
    </xf>
    <xf numFmtId="0" fontId="19" fillId="32" borderId="10" xfId="0" applyFont="1" applyFill="1" applyBorder="1" applyAlignment="1">
      <alignment horizontal="left" vertical="center" wrapText="1"/>
    </xf>
    <xf numFmtId="0" fontId="19" fillId="32" borderId="15" xfId="0" applyFont="1" applyFill="1" applyBorder="1" applyAlignment="1">
      <alignment horizontal="left" vertical="center" wrapText="1"/>
    </xf>
    <xf numFmtId="0" fontId="19" fillId="32" borderId="11" xfId="0" applyFont="1" applyFill="1" applyBorder="1" applyAlignment="1">
      <alignment horizontal="left" vertical="center" wrapText="1"/>
    </xf>
    <xf numFmtId="0" fontId="20" fillId="29" borderId="10" xfId="0" applyFont="1" applyFill="1" applyBorder="1" applyAlignment="1" applyProtection="1">
      <alignment horizontal="left"/>
      <protection locked="0"/>
    </xf>
    <xf numFmtId="0" fontId="20" fillId="29" borderId="15" xfId="0" applyFont="1" applyFill="1" applyBorder="1" applyAlignment="1" applyProtection="1">
      <alignment horizontal="left"/>
      <protection locked="0"/>
    </xf>
    <xf numFmtId="0" fontId="20" fillId="29" borderId="11" xfId="0" applyFont="1" applyFill="1" applyBorder="1" applyAlignment="1" applyProtection="1">
      <alignment horizontal="left"/>
      <protection locked="0"/>
    </xf>
    <xf numFmtId="0" fontId="27" fillId="28" borderId="0" xfId="0" applyFont="1" applyFill="1" applyAlignment="1">
      <alignment horizontal="center"/>
    </xf>
    <xf numFmtId="0" fontId="25" fillId="25" borderId="10" xfId="0" applyFont="1" applyFill="1" applyBorder="1" applyAlignment="1">
      <alignment horizontal="left" vertical="center" wrapText="1"/>
    </xf>
    <xf numFmtId="0" fontId="25" fillId="25" borderId="11" xfId="0" applyFont="1" applyFill="1" applyBorder="1" applyAlignment="1">
      <alignment horizontal="left" vertical="center" wrapText="1"/>
    </xf>
    <xf numFmtId="0" fontId="19" fillId="26" borderId="4" xfId="0" applyFont="1" applyFill="1" applyBorder="1" applyAlignment="1">
      <alignment horizontal="left"/>
    </xf>
    <xf numFmtId="0" fontId="19" fillId="31" borderId="4" xfId="0" applyFont="1" applyFill="1" applyBorder="1" applyAlignment="1">
      <alignment horizontal="left"/>
    </xf>
    <xf numFmtId="0" fontId="19" fillId="24" borderId="4" xfId="0" applyFont="1" applyFill="1" applyBorder="1" applyAlignment="1" applyProtection="1">
      <alignment horizontal="center"/>
      <protection locked="0"/>
    </xf>
    <xf numFmtId="39" fontId="19" fillId="24" borderId="4" xfId="0" applyNumberFormat="1" applyFont="1" applyFill="1" applyBorder="1" applyAlignment="1" applyProtection="1">
      <alignment horizontal="left" vertical="center" wrapText="1"/>
      <protection locked="0"/>
    </xf>
    <xf numFmtId="39" fontId="19" fillId="31" borderId="4" xfId="0" applyNumberFormat="1" applyFont="1" applyFill="1" applyBorder="1" applyAlignment="1">
      <alignment horizontal="left" vertical="center" wrapText="1"/>
    </xf>
    <xf numFmtId="0" fontId="19" fillId="31" borderId="10" xfId="0" applyFont="1" applyFill="1" applyBorder="1" applyAlignment="1">
      <alignment horizontal="left" vertical="center" wrapText="1"/>
    </xf>
    <xf numFmtId="0" fontId="19" fillId="31" borderId="15" xfId="0" applyFont="1" applyFill="1" applyBorder="1" applyAlignment="1">
      <alignment horizontal="left" vertical="center" wrapText="1"/>
    </xf>
    <xf numFmtId="0" fontId="19" fillId="31" borderId="11" xfId="0" applyFont="1" applyFill="1" applyBorder="1" applyAlignment="1">
      <alignment horizontal="left" vertical="center" wrapText="1"/>
    </xf>
    <xf numFmtId="0" fontId="19" fillId="26" borderId="10" xfId="0" applyFont="1" applyFill="1" applyBorder="1" applyAlignment="1">
      <alignment horizontal="left" vertical="center" wrapText="1"/>
    </xf>
    <xf numFmtId="0" fontId="19" fillId="26" borderId="15" xfId="0" applyFont="1" applyFill="1" applyBorder="1" applyAlignment="1">
      <alignment horizontal="left" vertical="center" wrapText="1"/>
    </xf>
    <xf numFmtId="0" fontId="19" fillId="26" borderId="11" xfId="0" applyFont="1" applyFill="1" applyBorder="1" applyAlignment="1">
      <alignment horizontal="left" vertical="center" wrapText="1"/>
    </xf>
    <xf numFmtId="0" fontId="25" fillId="24" borderId="10" xfId="0" applyFont="1" applyFill="1" applyBorder="1" applyAlignment="1">
      <alignment horizontal="left" vertical="center" wrapText="1"/>
    </xf>
    <xf numFmtId="0" fontId="25" fillId="24" borderId="15" xfId="0" applyFont="1" applyFill="1" applyBorder="1" applyAlignment="1">
      <alignment horizontal="left" vertical="center" wrapText="1"/>
    </xf>
    <xf numFmtId="0" fontId="25" fillId="24" borderId="11" xfId="0" applyFont="1" applyFill="1" applyBorder="1" applyAlignment="1">
      <alignment horizontal="left" vertical="center" wrapText="1"/>
    </xf>
    <xf numFmtId="0" fontId="19" fillId="31" borderId="4" xfId="0" applyFont="1" applyFill="1" applyBorder="1" applyAlignment="1">
      <alignment horizontal="left" vertical="center" wrapText="1"/>
    </xf>
    <xf numFmtId="0" fontId="19" fillId="28" borderId="0" xfId="0" applyFont="1" applyFill="1" applyAlignment="1">
      <alignment horizontal="justify" vertical="center" wrapText="1"/>
    </xf>
    <xf numFmtId="0" fontId="31" fillId="28" borderId="0" xfId="0" applyFont="1" applyFill="1" applyAlignment="1">
      <alignment horizontal="left" wrapText="1"/>
    </xf>
    <xf numFmtId="0" fontId="25" fillId="24" borderId="10" xfId="0" applyFont="1" applyFill="1" applyBorder="1" applyAlignment="1">
      <alignment horizontal="left" vertical="center"/>
    </xf>
    <xf numFmtId="0" fontId="25" fillId="24" borderId="15" xfId="0" applyFont="1" applyFill="1" applyBorder="1" applyAlignment="1">
      <alignment horizontal="left" vertical="center"/>
    </xf>
    <xf numFmtId="0" fontId="25" fillId="24" borderId="11" xfId="0" applyFont="1" applyFill="1" applyBorder="1" applyAlignment="1">
      <alignment horizontal="left" vertical="center"/>
    </xf>
    <xf numFmtId="0" fontId="25" fillId="25" borderId="4" xfId="0" applyFont="1" applyFill="1" applyBorder="1" applyAlignment="1">
      <alignment horizontal="left" vertical="center" wrapText="1"/>
    </xf>
    <xf numFmtId="39" fontId="19" fillId="24" borderId="10" xfId="0" applyNumberFormat="1" applyFont="1" applyFill="1" applyBorder="1" applyAlignment="1" applyProtection="1">
      <alignment horizontal="left" vertical="center" wrapText="1"/>
      <protection locked="0"/>
    </xf>
    <xf numFmtId="39" fontId="19" fillId="24" borderId="11" xfId="0" applyNumberFormat="1" applyFont="1" applyFill="1" applyBorder="1" applyAlignment="1" applyProtection="1">
      <alignment horizontal="left" vertical="center" wrapText="1"/>
      <protection locked="0"/>
    </xf>
    <xf numFmtId="0" fontId="19" fillId="26" borderId="4" xfId="0" applyFont="1" applyFill="1" applyBorder="1" applyAlignment="1">
      <alignment horizontal="left" vertical="center" wrapText="1"/>
    </xf>
    <xf numFmtId="4" fontId="19" fillId="24" borderId="10" xfId="0" applyNumberFormat="1" applyFont="1" applyFill="1" applyBorder="1" applyAlignment="1" applyProtection="1">
      <alignment horizontal="left" vertical="center" wrapText="1"/>
      <protection locked="0"/>
    </xf>
    <xf numFmtId="4" fontId="19" fillId="24" borderId="15" xfId="0" applyNumberFormat="1" applyFont="1" applyFill="1" applyBorder="1" applyAlignment="1" applyProtection="1">
      <alignment horizontal="left" vertical="center" wrapText="1"/>
      <protection locked="0"/>
    </xf>
    <xf numFmtId="4" fontId="19" fillId="24" borderId="11" xfId="0" applyNumberFormat="1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Alignment="1">
      <alignment horizontal="center" vertical="center"/>
    </xf>
    <xf numFmtId="0" fontId="31" fillId="28" borderId="16" xfId="0" applyFont="1" applyFill="1" applyBorder="1" applyAlignment="1">
      <alignment horizontal="center"/>
    </xf>
    <xf numFmtId="0" fontId="31" fillId="28" borderId="0" xfId="0" applyFont="1" applyFill="1" applyAlignment="1">
      <alignment horizontal="center" vertical="center"/>
    </xf>
    <xf numFmtId="0" fontId="19" fillId="26" borderId="10" xfId="0" applyFont="1" applyFill="1" applyBorder="1" applyAlignment="1">
      <alignment horizontal="left" vertical="center"/>
    </xf>
    <xf numFmtId="0" fontId="19" fillId="26" borderId="15" xfId="0" applyFont="1" applyFill="1" applyBorder="1" applyAlignment="1">
      <alignment horizontal="left" vertical="center"/>
    </xf>
    <xf numFmtId="0" fontId="19" fillId="26" borderId="11" xfId="0" applyFont="1" applyFill="1" applyBorder="1" applyAlignment="1">
      <alignment horizontal="left" vertical="center"/>
    </xf>
    <xf numFmtId="39" fontId="19" fillId="26" borderId="4" xfId="0" applyNumberFormat="1" applyFont="1" applyFill="1" applyBorder="1" applyAlignment="1">
      <alignment horizontal="left" vertical="center" wrapText="1"/>
    </xf>
    <xf numFmtId="0" fontId="25" fillId="24" borderId="4" xfId="0" applyFont="1" applyFill="1" applyBorder="1" applyAlignment="1">
      <alignment horizontal="left" vertical="center"/>
    </xf>
    <xf numFmtId="0" fontId="25" fillId="24" borderId="4" xfId="0" applyFont="1" applyFill="1" applyBorder="1" applyAlignment="1">
      <alignment horizontal="justify" vertical="center" wrapText="1"/>
    </xf>
    <xf numFmtId="0" fontId="19" fillId="31" borderId="4" xfId="0" applyFont="1" applyFill="1" applyBorder="1" applyAlignment="1">
      <alignment horizontal="justify" vertical="center"/>
    </xf>
    <xf numFmtId="0" fontId="25" fillId="24" borderId="4" xfId="0" applyFont="1" applyFill="1" applyBorder="1" applyAlignment="1">
      <alignment horizontal="left" vertical="center" wrapText="1"/>
    </xf>
    <xf numFmtId="0" fontId="31" fillId="28" borderId="17" xfId="0" applyFont="1" applyFill="1" applyBorder="1" applyAlignment="1">
      <alignment horizontal="left" vertical="center" wrapText="1"/>
    </xf>
    <xf numFmtId="0" fontId="19" fillId="26" borderId="4" xfId="0" applyFont="1" applyFill="1" applyBorder="1" applyAlignment="1">
      <alignment horizontal="justify" vertical="center"/>
    </xf>
    <xf numFmtId="0" fontId="24" fillId="26" borderId="4" xfId="0" applyFont="1" applyFill="1" applyBorder="1" applyAlignment="1">
      <alignment horizontal="left" vertical="center" wrapText="1" indent="1"/>
    </xf>
    <xf numFmtId="0" fontId="24" fillId="31" borderId="4" xfId="0" applyFont="1" applyFill="1" applyBorder="1" applyAlignment="1">
      <alignment horizontal="left" vertical="center" wrapText="1" indent="1"/>
    </xf>
    <xf numFmtId="0" fontId="25" fillId="30" borderId="4" xfId="0" applyFont="1" applyFill="1" applyBorder="1" applyAlignment="1">
      <alignment horizontal="left" vertical="center" wrapText="1"/>
    </xf>
    <xf numFmtId="4" fontId="19" fillId="26" borderId="4" xfId="0" applyNumberFormat="1" applyFont="1" applyFill="1" applyBorder="1" applyAlignment="1">
      <alignment horizontal="left" vertical="center" wrapText="1"/>
    </xf>
    <xf numFmtId="39" fontId="19" fillId="31" borderId="10" xfId="0" applyNumberFormat="1" applyFont="1" applyFill="1" applyBorder="1" applyAlignment="1">
      <alignment horizontal="left" vertical="center" wrapText="1"/>
    </xf>
    <xf numFmtId="39" fontId="19" fillId="31" borderId="15" xfId="0" applyNumberFormat="1" applyFont="1" applyFill="1" applyBorder="1" applyAlignment="1">
      <alignment horizontal="left" vertical="center" wrapText="1"/>
    </xf>
    <xf numFmtId="39" fontId="19" fillId="31" borderId="11" xfId="0" applyNumberFormat="1" applyFont="1" applyFill="1" applyBorder="1" applyAlignment="1">
      <alignment horizontal="left" vertical="center" wrapText="1"/>
    </xf>
    <xf numFmtId="0" fontId="31" fillId="28" borderId="0" xfId="0" applyFont="1" applyFill="1" applyAlignment="1">
      <alignment horizontal="justify" vertical="center" wrapText="1"/>
    </xf>
    <xf numFmtId="39" fontId="19" fillId="26" borderId="10" xfId="0" applyNumberFormat="1" applyFont="1" applyFill="1" applyBorder="1" applyAlignment="1">
      <alignment horizontal="left" vertical="center" wrapText="1"/>
    </xf>
    <xf numFmtId="39" fontId="19" fillId="26" borderId="15" xfId="0" applyNumberFormat="1" applyFont="1" applyFill="1" applyBorder="1" applyAlignment="1">
      <alignment horizontal="left" vertical="center" wrapText="1"/>
    </xf>
    <xf numFmtId="39" fontId="19" fillId="26" borderId="11" xfId="0" applyNumberFormat="1" applyFont="1" applyFill="1" applyBorder="1" applyAlignment="1">
      <alignment horizontal="left" vertical="center" wrapText="1"/>
    </xf>
    <xf numFmtId="0" fontId="19" fillId="32" borderId="4" xfId="0" applyFont="1" applyFill="1" applyBorder="1" applyAlignment="1">
      <alignment horizontal="left" vertical="center"/>
    </xf>
    <xf numFmtId="0" fontId="19" fillId="33" borderId="4" xfId="0" applyFont="1" applyFill="1" applyBorder="1" applyAlignment="1">
      <alignment horizontal="left" vertical="center"/>
    </xf>
    <xf numFmtId="0" fontId="19" fillId="31" borderId="4" xfId="0" applyFont="1" applyFill="1" applyBorder="1" applyAlignment="1">
      <alignment horizontal="center"/>
    </xf>
    <xf numFmtId="0" fontId="19" fillId="26" borderId="4" xfId="0" applyFont="1" applyFill="1" applyBorder="1" applyAlignment="1">
      <alignment horizontal="center"/>
    </xf>
    <xf numFmtId="0" fontId="33" fillId="0" borderId="0" xfId="0" applyFont="1" applyAlignment="1">
      <alignment horizontal="center"/>
    </xf>
    <xf numFmtId="0" fontId="34" fillId="28" borderId="16" xfId="0" applyFont="1" applyFill="1" applyBorder="1" applyAlignment="1">
      <alignment horizontal="center" vertical="center"/>
    </xf>
    <xf numFmtId="0" fontId="19" fillId="33" borderId="4" xfId="0" applyFont="1" applyFill="1" applyBorder="1" applyAlignment="1">
      <alignment horizontal="center"/>
    </xf>
    <xf numFmtId="0" fontId="19" fillId="32" borderId="4" xfId="0" applyFont="1" applyFill="1" applyBorder="1" applyAlignment="1">
      <alignment horizontal="right"/>
    </xf>
    <xf numFmtId="0" fontId="20" fillId="33" borderId="10" xfId="0" applyFont="1" applyFill="1" applyBorder="1" applyAlignment="1">
      <alignment horizontal="left"/>
    </xf>
    <xf numFmtId="0" fontId="20" fillId="33" borderId="15" xfId="0" applyFont="1" applyFill="1" applyBorder="1" applyAlignment="1">
      <alignment horizontal="left"/>
    </xf>
    <xf numFmtId="0" fontId="20" fillId="33" borderId="11" xfId="0" applyFont="1" applyFill="1" applyBorder="1" applyAlignment="1">
      <alignment horizontal="left"/>
    </xf>
    <xf numFmtId="0" fontId="20" fillId="32" borderId="10" xfId="0" applyFont="1" applyFill="1" applyBorder="1" applyAlignment="1">
      <alignment horizontal="left"/>
    </xf>
    <xf numFmtId="0" fontId="20" fillId="32" borderId="15" xfId="0" applyFont="1" applyFill="1" applyBorder="1" applyAlignment="1">
      <alignment horizontal="left"/>
    </xf>
    <xf numFmtId="0" fontId="20" fillId="32" borderId="11" xfId="0" applyFont="1" applyFill="1" applyBorder="1" applyAlignment="1">
      <alignment horizontal="left"/>
    </xf>
    <xf numFmtId="0" fontId="19" fillId="31" borderId="14" xfId="0" applyFont="1" applyFill="1" applyBorder="1" applyAlignment="1">
      <alignment horizontal="left"/>
    </xf>
    <xf numFmtId="0" fontId="25" fillId="25" borderId="13" xfId="0" applyFont="1" applyFill="1" applyBorder="1" applyAlignment="1">
      <alignment horizontal="center" vertical="center" wrapText="1"/>
    </xf>
    <xf numFmtId="0" fontId="25" fillId="25" borderId="18" xfId="0" applyFont="1" applyFill="1" applyBorder="1" applyAlignment="1">
      <alignment horizontal="center" vertical="center" wrapText="1"/>
    </xf>
    <xf numFmtId="0" fontId="25" fillId="25" borderId="19" xfId="0" applyFont="1" applyFill="1" applyBorder="1" applyAlignment="1">
      <alignment horizontal="center" vertical="center" wrapText="1"/>
    </xf>
    <xf numFmtId="0" fontId="25" fillId="25" borderId="20" xfId="0" applyFont="1" applyFill="1" applyBorder="1" applyAlignment="1">
      <alignment horizontal="center" vertical="center" wrapText="1"/>
    </xf>
    <xf numFmtId="0" fontId="25" fillId="25" borderId="12" xfId="0" applyFont="1" applyFill="1" applyBorder="1" applyAlignment="1">
      <alignment horizontal="center" vertical="center" wrapText="1"/>
    </xf>
    <xf numFmtId="0" fontId="25" fillId="25" borderId="14" xfId="0" applyFont="1" applyFill="1" applyBorder="1" applyAlignment="1">
      <alignment horizontal="center" vertical="center" wrapText="1"/>
    </xf>
    <xf numFmtId="0" fontId="25" fillId="25" borderId="10" xfId="0" applyFont="1" applyFill="1" applyBorder="1" applyAlignment="1">
      <alignment horizontal="center" vertical="center" wrapText="1"/>
    </xf>
    <xf numFmtId="0" fontId="25" fillId="25" borderId="11" xfId="0" applyFont="1" applyFill="1" applyBorder="1" applyAlignment="1">
      <alignment horizontal="center" vertical="center" wrapText="1"/>
    </xf>
    <xf numFmtId="49" fontId="19" fillId="32" borderId="10" xfId="0" applyNumberFormat="1" applyFont="1" applyFill="1" applyBorder="1" applyAlignment="1">
      <alignment horizontal="left" vertical="center" wrapText="1"/>
    </xf>
    <xf numFmtId="49" fontId="19" fillId="31" borderId="14" xfId="0" applyNumberFormat="1" applyFont="1" applyFill="1" applyBorder="1" applyAlignment="1">
      <alignment horizontal="left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1 1 1" xfId="40"/>
    <cellStyle name="Título 2" xfId="41" builtinId="17" customBuiltin="1"/>
    <cellStyle name="Título 3" xfId="42" builtinId="18" customBuiltin="1"/>
    <cellStyle name="Título 4" xfId="43" builtinId="19" customBuiltin="1"/>
    <cellStyle name="Total" xfId="44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F73"/>
  <sheetViews>
    <sheetView view="pageBreakPreview" topLeftCell="A19" zoomScaleNormal="100" zoomScaleSheetLayoutView="100" workbookViewId="0">
      <selection activeCell="I22" sqref="I22"/>
    </sheetView>
  </sheetViews>
  <sheetFormatPr defaultRowHeight="16.5"/>
  <cols>
    <col min="1" max="1" width="2.7109375" style="7" customWidth="1"/>
    <col min="2" max="2" width="8.85546875" style="7" customWidth="1"/>
    <col min="3" max="3" width="56.85546875" style="12" customWidth="1"/>
    <col min="4" max="4" width="9.5703125" style="12" customWidth="1"/>
    <col min="5" max="5" width="13.5703125" style="12" customWidth="1"/>
    <col min="6" max="6" width="15.42578125" style="12" bestFit="1" customWidth="1"/>
    <col min="7" max="16384" width="9.140625" style="7"/>
  </cols>
  <sheetData>
    <row r="1" spans="2:6" ht="20.25">
      <c r="B1" s="138" t="s">
        <v>128</v>
      </c>
      <c r="C1" s="139"/>
      <c r="D1" s="139"/>
      <c r="E1" s="139"/>
      <c r="F1" s="140"/>
    </row>
    <row r="2" spans="2:6" ht="20.25">
      <c r="B2" s="138" t="s">
        <v>129</v>
      </c>
      <c r="C2" s="139"/>
      <c r="D2" s="140"/>
      <c r="E2" s="89" t="s">
        <v>49</v>
      </c>
      <c r="F2" s="59" t="s">
        <v>130</v>
      </c>
    </row>
    <row r="3" spans="2:6">
      <c r="B3" s="67"/>
      <c r="C3" s="67"/>
      <c r="D3" s="67"/>
      <c r="E3" s="67"/>
      <c r="F3" s="67"/>
    </row>
    <row r="4" spans="2:6" s="67" customFormat="1" ht="25.5">
      <c r="B4" s="141" t="s">
        <v>140</v>
      </c>
      <c r="C4" s="141"/>
      <c r="D4" s="141"/>
      <c r="E4" s="141"/>
      <c r="F4" s="141"/>
    </row>
    <row r="5" spans="2:6" s="67" customFormat="1" ht="15.95" customHeight="1">
      <c r="B5" s="131" t="s">
        <v>80</v>
      </c>
      <c r="C5" s="131"/>
      <c r="D5" s="131"/>
      <c r="E5" s="131"/>
      <c r="F5" s="131"/>
    </row>
    <row r="6" spans="2:6" s="67" customFormat="1" ht="15.95" customHeight="1">
      <c r="B6" s="127" t="s">
        <v>28</v>
      </c>
      <c r="C6" s="127"/>
      <c r="D6" s="128" t="s">
        <v>133</v>
      </c>
      <c r="E6" s="128"/>
      <c r="F6" s="128"/>
    </row>
    <row r="7" spans="2:6" s="67" customFormat="1" ht="15.75" customHeight="1">
      <c r="B7" s="132" t="s">
        <v>29</v>
      </c>
      <c r="C7" s="132"/>
      <c r="D7" s="133" t="s">
        <v>30</v>
      </c>
      <c r="E7" s="133"/>
      <c r="F7" s="17" t="s">
        <v>131</v>
      </c>
    </row>
    <row r="8" spans="2:6" s="67" customFormat="1" ht="15.75" customHeight="1">
      <c r="B8" s="127" t="s">
        <v>94</v>
      </c>
      <c r="C8" s="127"/>
      <c r="D8" s="129" t="s">
        <v>130</v>
      </c>
      <c r="E8" s="130"/>
      <c r="F8" s="17" t="s">
        <v>132</v>
      </c>
    </row>
    <row r="9" spans="2:6" s="67" customFormat="1" ht="9.75" customHeight="1">
      <c r="C9" s="5"/>
      <c r="D9" s="79"/>
      <c r="E9" s="79"/>
      <c r="F9" s="80"/>
    </row>
    <row r="10" spans="2:6" s="67" customFormat="1" ht="15.75" customHeight="1">
      <c r="B10" s="131" t="s">
        <v>93</v>
      </c>
      <c r="C10" s="131"/>
      <c r="D10" s="131"/>
      <c r="E10" s="131"/>
      <c r="F10" s="131"/>
    </row>
    <row r="11" spans="2:6" s="67" customFormat="1" ht="18" customHeight="1">
      <c r="B11" s="18" t="s">
        <v>2</v>
      </c>
      <c r="C11" s="127" t="s">
        <v>55</v>
      </c>
      <c r="D11" s="127"/>
      <c r="E11" s="127"/>
      <c r="F11" s="19" t="s">
        <v>130</v>
      </c>
    </row>
    <row r="12" spans="2:6" s="67" customFormat="1" ht="15.95" customHeight="1">
      <c r="B12" s="1" t="s">
        <v>3</v>
      </c>
      <c r="C12" s="50" t="s">
        <v>31</v>
      </c>
      <c r="D12" s="134"/>
      <c r="E12" s="134"/>
      <c r="F12" s="134"/>
    </row>
    <row r="13" spans="2:6" s="67" customFormat="1" ht="15.95" customHeight="1">
      <c r="B13" s="18" t="s">
        <v>4</v>
      </c>
      <c r="C13" s="127" t="s">
        <v>125</v>
      </c>
      <c r="D13" s="127"/>
      <c r="E13" s="127"/>
      <c r="F13" s="52"/>
    </row>
    <row r="14" spans="2:6" s="67" customFormat="1" ht="18.75" customHeight="1">
      <c r="B14" s="1" t="s">
        <v>5</v>
      </c>
      <c r="C14" s="135" t="s">
        <v>32</v>
      </c>
      <c r="D14" s="136"/>
      <c r="E14" s="137"/>
      <c r="F14" s="17" t="s">
        <v>131</v>
      </c>
    </row>
    <row r="15" spans="2:6" s="67" customFormat="1" ht="15.95" customHeight="1">
      <c r="B15" s="1" t="s">
        <v>6</v>
      </c>
      <c r="C15" s="127" t="s">
        <v>56</v>
      </c>
      <c r="D15" s="127"/>
      <c r="E15" s="127"/>
      <c r="F15" s="48">
        <v>12</v>
      </c>
    </row>
    <row r="16" spans="2:6" s="67" customFormat="1" ht="15.95" customHeight="1">
      <c r="C16" s="5"/>
      <c r="D16" s="79"/>
      <c r="E16" s="79"/>
      <c r="F16" s="80"/>
    </row>
    <row r="17" spans="2:6" s="67" customFormat="1">
      <c r="B17" s="131" t="s">
        <v>95</v>
      </c>
      <c r="C17" s="131"/>
      <c r="D17" s="131"/>
      <c r="E17" s="131"/>
      <c r="F17" s="131"/>
    </row>
    <row r="18" spans="2:6" s="81" customFormat="1" ht="49.5">
      <c r="B18" s="61" t="s">
        <v>126</v>
      </c>
      <c r="C18" s="61" t="s">
        <v>25</v>
      </c>
      <c r="D18" s="49" t="s">
        <v>96</v>
      </c>
      <c r="E18" s="49" t="s">
        <v>141</v>
      </c>
      <c r="F18" s="49" t="s">
        <v>97</v>
      </c>
    </row>
    <row r="19" spans="2:6" s="67" customFormat="1" ht="16.5" customHeight="1">
      <c r="B19" s="18">
        <v>1</v>
      </c>
      <c r="C19" s="88" t="s">
        <v>163</v>
      </c>
      <c r="D19" s="63" t="s">
        <v>236</v>
      </c>
      <c r="E19" s="85">
        <v>1</v>
      </c>
      <c r="F19" s="63">
        <v>1</v>
      </c>
    </row>
    <row r="20" spans="2:6" s="67" customFormat="1" ht="16.5" customHeight="1">
      <c r="B20" s="18">
        <v>2</v>
      </c>
      <c r="C20" s="88" t="s">
        <v>164</v>
      </c>
      <c r="D20" s="63" t="s">
        <v>236</v>
      </c>
      <c r="E20" s="85">
        <v>1</v>
      </c>
      <c r="F20" s="63">
        <v>21</v>
      </c>
    </row>
    <row r="21" spans="2:6" s="67" customFormat="1" ht="15.95" customHeight="1">
      <c r="B21" s="11"/>
      <c r="C21" s="11"/>
      <c r="D21" s="11"/>
      <c r="E21" s="11"/>
      <c r="F21" s="11"/>
    </row>
    <row r="22" spans="2:6" s="67" customFormat="1" ht="15" customHeight="1">
      <c r="B22" s="131" t="s">
        <v>98</v>
      </c>
      <c r="C22" s="131"/>
      <c r="D22" s="131"/>
      <c r="E22" s="131"/>
      <c r="F22" s="131"/>
    </row>
    <row r="23" spans="2:6" s="67" customFormat="1" ht="15" customHeight="1">
      <c r="B23" s="18">
        <v>1</v>
      </c>
      <c r="C23" s="86" t="s">
        <v>237</v>
      </c>
      <c r="D23" s="146"/>
      <c r="E23" s="146"/>
      <c r="F23" s="146"/>
    </row>
    <row r="24" spans="2:6" s="67" customFormat="1" ht="15" customHeight="1">
      <c r="B24" s="18">
        <v>2</v>
      </c>
      <c r="C24" s="86" t="s">
        <v>238</v>
      </c>
      <c r="D24" s="146"/>
      <c r="E24" s="146"/>
      <c r="F24" s="146"/>
    </row>
    <row r="25" spans="2:6" s="67" customFormat="1" ht="15.95" customHeight="1">
      <c r="B25" s="18">
        <v>2</v>
      </c>
      <c r="C25" s="20" t="s">
        <v>53</v>
      </c>
      <c r="D25" s="146"/>
      <c r="E25" s="146"/>
      <c r="F25" s="146"/>
    </row>
    <row r="26" spans="2:6" s="67" customFormat="1" ht="15.95" customHeight="1">
      <c r="B26" s="18">
        <v>3</v>
      </c>
      <c r="C26" s="145" t="s">
        <v>54</v>
      </c>
      <c r="D26" s="145"/>
      <c r="E26" s="145"/>
      <c r="F26" s="19" t="s">
        <v>130</v>
      </c>
    </row>
    <row r="27" spans="2:6" s="67" customFormat="1" ht="15.95" customHeight="1">
      <c r="B27" s="18">
        <v>4</v>
      </c>
      <c r="C27" s="144" t="s">
        <v>119</v>
      </c>
      <c r="D27" s="144"/>
      <c r="E27" s="144"/>
      <c r="F27" s="51"/>
    </row>
    <row r="28" spans="2:6" s="67" customFormat="1">
      <c r="B28" s="21"/>
      <c r="C28" s="22"/>
      <c r="D28" s="22"/>
      <c r="E28" s="22"/>
      <c r="F28" s="82"/>
    </row>
    <row r="29" spans="2:6" s="67" customFormat="1" ht="25.5">
      <c r="B29" s="83" t="s">
        <v>136</v>
      </c>
      <c r="C29" s="7"/>
      <c r="D29" s="7"/>
      <c r="E29" s="7"/>
      <c r="F29" s="7"/>
    </row>
    <row r="30" spans="2:6">
      <c r="B30" s="38" t="s">
        <v>8</v>
      </c>
      <c r="E30" s="8"/>
      <c r="F30" s="8"/>
    </row>
    <row r="31" spans="2:6">
      <c r="B31" s="1">
        <v>1</v>
      </c>
      <c r="C31" s="164" t="s">
        <v>9</v>
      </c>
      <c r="D31" s="164"/>
      <c r="E31" s="164"/>
      <c r="F31" s="3" t="s">
        <v>103</v>
      </c>
    </row>
    <row r="32" spans="2:6">
      <c r="B32" s="1" t="s">
        <v>239</v>
      </c>
      <c r="C32" s="148" t="s">
        <v>245</v>
      </c>
      <c r="D32" s="148"/>
      <c r="E32" s="148"/>
      <c r="F32" s="113"/>
    </row>
    <row r="33" spans="1:6">
      <c r="B33" s="1" t="s">
        <v>240</v>
      </c>
      <c r="C33" s="148" t="s">
        <v>246</v>
      </c>
      <c r="D33" s="148"/>
      <c r="E33" s="148"/>
      <c r="F33" s="113"/>
    </row>
    <row r="34" spans="1:6">
      <c r="B34" s="1" t="s">
        <v>241</v>
      </c>
      <c r="C34" s="147" t="s">
        <v>247</v>
      </c>
      <c r="D34" s="147"/>
      <c r="E34" s="147"/>
      <c r="F34" s="113"/>
    </row>
    <row r="35" spans="1:6">
      <c r="B35" s="1" t="s">
        <v>242</v>
      </c>
      <c r="C35" s="147" t="s">
        <v>248</v>
      </c>
      <c r="D35" s="147"/>
      <c r="E35" s="147"/>
      <c r="F35" s="113"/>
    </row>
    <row r="36" spans="1:6" s="74" customFormat="1"/>
    <row r="37" spans="1:6" s="74" customFormat="1">
      <c r="A37" s="7"/>
      <c r="B37" s="38" t="s">
        <v>57</v>
      </c>
      <c r="C37" s="12"/>
      <c r="D37" s="12"/>
      <c r="E37" s="14"/>
      <c r="F37" s="14"/>
    </row>
    <row r="38" spans="1:6" s="74" customFormat="1">
      <c r="A38" s="7"/>
      <c r="B38" s="38" t="s">
        <v>62</v>
      </c>
      <c r="C38" s="67"/>
      <c r="D38" s="67"/>
      <c r="E38" s="67"/>
      <c r="F38" s="67"/>
    </row>
    <row r="39" spans="1:6" s="74" customFormat="1" ht="15" customHeight="1">
      <c r="A39" s="7"/>
      <c r="B39" s="1" t="s">
        <v>75</v>
      </c>
      <c r="C39" s="142" t="s">
        <v>14</v>
      </c>
      <c r="D39" s="143"/>
      <c r="E39" s="3" t="s">
        <v>33</v>
      </c>
      <c r="F39" s="3" t="s">
        <v>104</v>
      </c>
    </row>
    <row r="40" spans="1:6" s="74" customFormat="1">
      <c r="A40" s="7"/>
      <c r="B40" s="62" t="s">
        <v>2</v>
      </c>
      <c r="C40" s="145" t="s">
        <v>15</v>
      </c>
      <c r="D40" s="145"/>
      <c r="E40" s="48" t="s">
        <v>34</v>
      </c>
      <c r="F40" s="114"/>
    </row>
    <row r="41" spans="1:6" s="74" customFormat="1">
      <c r="B41" s="62" t="s">
        <v>3</v>
      </c>
      <c r="C41" s="144" t="s">
        <v>61</v>
      </c>
      <c r="D41" s="144"/>
      <c r="E41" s="23" t="s">
        <v>34</v>
      </c>
      <c r="F41" s="114"/>
    </row>
    <row r="42" spans="1:6" s="74" customFormat="1">
      <c r="B42" s="62" t="s">
        <v>4</v>
      </c>
      <c r="C42" s="145" t="s">
        <v>137</v>
      </c>
      <c r="D42" s="145"/>
      <c r="E42" s="48" t="s">
        <v>122</v>
      </c>
      <c r="F42" s="115"/>
    </row>
    <row r="43" spans="1:6">
      <c r="B43" s="62" t="s">
        <v>5</v>
      </c>
      <c r="C43" s="165" t="s">
        <v>127</v>
      </c>
      <c r="D43" s="166"/>
      <c r="E43" s="60"/>
      <c r="F43" s="113"/>
    </row>
    <row r="44" spans="1:6" s="74" customFormat="1"/>
    <row r="45" spans="1:6" s="67" customFormat="1">
      <c r="B45" s="38" t="s">
        <v>64</v>
      </c>
      <c r="C45" s="6"/>
      <c r="D45" s="15"/>
      <c r="E45" s="7"/>
      <c r="F45" s="7"/>
    </row>
    <row r="46" spans="1:6" s="67" customFormat="1" ht="15" customHeight="1">
      <c r="B46" s="38" t="s">
        <v>85</v>
      </c>
      <c r="C46" s="6"/>
      <c r="D46" s="15"/>
      <c r="E46" s="13"/>
      <c r="F46" s="13"/>
    </row>
    <row r="47" spans="1:6">
      <c r="A47" s="67"/>
      <c r="B47" s="1" t="s">
        <v>19</v>
      </c>
      <c r="C47" s="155" t="s">
        <v>86</v>
      </c>
      <c r="D47" s="156"/>
      <c r="E47" s="157"/>
      <c r="F47" s="3" t="s">
        <v>1</v>
      </c>
    </row>
    <row r="48" spans="1:6" s="74" customFormat="1">
      <c r="B48" s="2" t="s">
        <v>2</v>
      </c>
      <c r="C48" s="168" t="s">
        <v>134</v>
      </c>
      <c r="D48" s="169"/>
      <c r="E48" s="170"/>
      <c r="F48" s="114"/>
    </row>
    <row r="49" spans="1:6">
      <c r="B49" s="74"/>
      <c r="C49" s="74"/>
      <c r="D49" s="74"/>
      <c r="E49" s="74"/>
      <c r="F49" s="74"/>
    </row>
    <row r="50" spans="1:6">
      <c r="B50" s="74"/>
      <c r="C50" s="74"/>
      <c r="D50" s="74"/>
      <c r="E50" s="74"/>
      <c r="F50" s="74"/>
    </row>
    <row r="51" spans="1:6" ht="15.75" customHeight="1">
      <c r="B51" s="38" t="s">
        <v>66</v>
      </c>
      <c r="C51" s="6"/>
      <c r="D51" s="6"/>
      <c r="E51" s="13"/>
      <c r="F51" s="13"/>
    </row>
    <row r="52" spans="1:6">
      <c r="B52" s="1">
        <v>5</v>
      </c>
      <c r="C52" s="164" t="s">
        <v>0</v>
      </c>
      <c r="D52" s="164"/>
      <c r="E52" s="164"/>
      <c r="F52" s="3" t="s">
        <v>13</v>
      </c>
    </row>
    <row r="53" spans="1:6">
      <c r="B53" s="18" t="s">
        <v>239</v>
      </c>
      <c r="C53" s="158" t="s">
        <v>243</v>
      </c>
      <c r="D53" s="158"/>
      <c r="E53" s="158"/>
      <c r="F53" s="103">
        <f ca="1">'INSERÇÃO-DE-DADOS (UNIFORMES)'!H35</f>
        <v>0</v>
      </c>
    </row>
    <row r="54" spans="1:6">
      <c r="B54" s="18" t="s">
        <v>240</v>
      </c>
      <c r="C54" s="158" t="s">
        <v>244</v>
      </c>
      <c r="D54" s="158"/>
      <c r="E54" s="158"/>
      <c r="F54" s="103">
        <f ca="1">'INSERÇÃO-DE-DADOS (UNIFORMES)'!H10</f>
        <v>0</v>
      </c>
    </row>
    <row r="55" spans="1:6" s="75" customFormat="1">
      <c r="A55" s="7"/>
      <c r="B55" s="18" t="s">
        <v>3</v>
      </c>
      <c r="C55" s="167" t="s">
        <v>17</v>
      </c>
      <c r="D55" s="167"/>
      <c r="E55" s="167"/>
      <c r="F55" s="107">
        <f ca="1">'INSERÇÃO-DE-DADOS (MATERIAIS)'!R9</f>
        <v>0</v>
      </c>
    </row>
    <row r="56" spans="1:6" s="74" customFormat="1">
      <c r="B56" s="18" t="s">
        <v>68</v>
      </c>
      <c r="C56" s="147" t="s">
        <v>249</v>
      </c>
      <c r="D56" s="147"/>
      <c r="E56" s="147"/>
      <c r="F56" s="113"/>
    </row>
    <row r="57" spans="1:6" s="74" customFormat="1">
      <c r="B57" s="18" t="s">
        <v>69</v>
      </c>
      <c r="C57" s="147" t="s">
        <v>250</v>
      </c>
      <c r="D57" s="147"/>
      <c r="E57" s="147"/>
      <c r="F57" s="113"/>
    </row>
    <row r="58" spans="1:6" s="76" customFormat="1" ht="16.5" customHeight="1">
      <c r="A58" s="7"/>
      <c r="B58" s="74"/>
      <c r="C58" s="74"/>
      <c r="D58" s="74"/>
      <c r="E58" s="74"/>
      <c r="F58" s="74"/>
    </row>
    <row r="59" spans="1:6" s="77" customFormat="1" ht="16.5" customHeight="1">
      <c r="A59" s="7"/>
      <c r="B59" s="160" t="s">
        <v>65</v>
      </c>
      <c r="C59" s="160"/>
      <c r="D59" s="160"/>
      <c r="E59" s="160"/>
      <c r="F59" s="160"/>
    </row>
    <row r="60" spans="1:6" s="77" customFormat="1">
      <c r="A60" s="75"/>
      <c r="B60" s="1">
        <v>6</v>
      </c>
      <c r="C60" s="161" t="s">
        <v>20</v>
      </c>
      <c r="D60" s="162"/>
      <c r="E60" s="163"/>
      <c r="F60" s="3" t="s">
        <v>1</v>
      </c>
    </row>
    <row r="61" spans="1:6" s="77" customFormat="1">
      <c r="A61" s="75"/>
      <c r="B61" s="1" t="s">
        <v>2</v>
      </c>
      <c r="C61" s="149" t="s">
        <v>67</v>
      </c>
      <c r="D61" s="150"/>
      <c r="E61" s="151"/>
      <c r="F61" s="116"/>
    </row>
    <row r="62" spans="1:6" s="77" customFormat="1">
      <c r="A62" s="76"/>
      <c r="B62" s="2" t="s">
        <v>3</v>
      </c>
      <c r="C62" s="152" t="s">
        <v>27</v>
      </c>
      <c r="D62" s="153"/>
      <c r="E62" s="154"/>
      <c r="F62" s="116"/>
    </row>
    <row r="63" spans="1:6">
      <c r="B63" s="24" t="s">
        <v>68</v>
      </c>
      <c r="C63" s="149" t="s">
        <v>22</v>
      </c>
      <c r="D63" s="150"/>
      <c r="E63" s="151">
        <f ca="1">PERC_PIS</f>
        <v>0</v>
      </c>
      <c r="F63" s="116"/>
    </row>
    <row r="64" spans="1:6">
      <c r="B64" s="24" t="s">
        <v>69</v>
      </c>
      <c r="C64" s="152" t="s">
        <v>23</v>
      </c>
      <c r="D64" s="153"/>
      <c r="E64" s="154">
        <f ca="1">PERC_COFINS</f>
        <v>0</v>
      </c>
      <c r="F64" s="116"/>
    </row>
    <row r="65" spans="1:6" s="74" customFormat="1">
      <c r="B65" s="24" t="s">
        <v>70</v>
      </c>
      <c r="C65" s="149" t="s">
        <v>24</v>
      </c>
      <c r="D65" s="150"/>
      <c r="E65" s="151">
        <f ca="1">PERC_ISS</f>
        <v>0</v>
      </c>
      <c r="F65" s="116"/>
    </row>
    <row r="66" spans="1:6">
      <c r="B66" s="74"/>
      <c r="C66" s="74"/>
      <c r="D66" s="74"/>
      <c r="E66" s="74"/>
      <c r="F66" s="74"/>
    </row>
    <row r="67" spans="1:6" s="77" customFormat="1" ht="16.5" customHeight="1">
      <c r="A67" s="7"/>
      <c r="B67" s="160" t="s">
        <v>180</v>
      </c>
      <c r="C67" s="160"/>
      <c r="D67" s="160"/>
      <c r="E67" s="160"/>
      <c r="F67" s="160"/>
    </row>
    <row r="68" spans="1:6" s="77" customFormat="1">
      <c r="A68" s="75"/>
      <c r="B68" s="1" t="s">
        <v>126</v>
      </c>
      <c r="C68" s="161" t="s">
        <v>251</v>
      </c>
      <c r="D68" s="162"/>
      <c r="E68" s="163"/>
      <c r="F68" s="3" t="s">
        <v>252</v>
      </c>
    </row>
    <row r="69" spans="1:6" s="77" customFormat="1">
      <c r="A69" s="75"/>
      <c r="B69" s="1">
        <v>1</v>
      </c>
      <c r="C69" s="149" t="s">
        <v>229</v>
      </c>
      <c r="D69" s="150"/>
      <c r="E69" s="151"/>
      <c r="F69" s="116"/>
    </row>
    <row r="70" spans="1:6" s="77" customFormat="1">
      <c r="A70" s="76"/>
      <c r="B70" s="2">
        <v>2</v>
      </c>
      <c r="C70" s="152" t="s">
        <v>230</v>
      </c>
      <c r="D70" s="153"/>
      <c r="E70" s="154"/>
      <c r="F70" s="116"/>
    </row>
    <row r="71" spans="1:6">
      <c r="B71" s="2">
        <v>3</v>
      </c>
      <c r="C71" s="149" t="s">
        <v>231</v>
      </c>
      <c r="D71" s="150"/>
      <c r="E71" s="151">
        <f ca="1">PERC_PIS</f>
        <v>0</v>
      </c>
      <c r="F71" s="116"/>
    </row>
    <row r="72" spans="1:6" ht="33.75" customHeight="1">
      <c r="B72" s="26" t="s">
        <v>135</v>
      </c>
      <c r="C72" s="27"/>
      <c r="D72" s="27"/>
      <c r="E72" s="27"/>
      <c r="F72" s="28"/>
    </row>
    <row r="73" spans="1:6" ht="32.25" customHeight="1">
      <c r="B73" s="159" t="s">
        <v>156</v>
      </c>
      <c r="C73" s="159"/>
      <c r="D73" s="159"/>
      <c r="E73" s="159"/>
      <c r="F73" s="159"/>
    </row>
  </sheetData>
  <mergeCells count="54">
    <mergeCell ref="C43:D43"/>
    <mergeCell ref="C60:E60"/>
    <mergeCell ref="C52:E52"/>
    <mergeCell ref="C53:E53"/>
    <mergeCell ref="C55:E55"/>
    <mergeCell ref="C48:E48"/>
    <mergeCell ref="B73:F73"/>
    <mergeCell ref="C63:E63"/>
    <mergeCell ref="C65:E65"/>
    <mergeCell ref="C62:E62"/>
    <mergeCell ref="C64:E64"/>
    <mergeCell ref="B67:F67"/>
    <mergeCell ref="C68:E68"/>
    <mergeCell ref="C69:E69"/>
    <mergeCell ref="C70:E70"/>
    <mergeCell ref="C71:E71"/>
    <mergeCell ref="C40:D40"/>
    <mergeCell ref="C47:E47"/>
    <mergeCell ref="C54:E54"/>
    <mergeCell ref="C57:E57"/>
    <mergeCell ref="C61:E61"/>
    <mergeCell ref="C56:E56"/>
    <mergeCell ref="B59:F59"/>
    <mergeCell ref="C42:D42"/>
    <mergeCell ref="D23:F23"/>
    <mergeCell ref="C34:E34"/>
    <mergeCell ref="C32:E32"/>
    <mergeCell ref="D24:F24"/>
    <mergeCell ref="C33:E33"/>
    <mergeCell ref="C35:E35"/>
    <mergeCell ref="C31:E31"/>
    <mergeCell ref="D25:F25"/>
    <mergeCell ref="C27:E27"/>
    <mergeCell ref="B1:F1"/>
    <mergeCell ref="B2:D2"/>
    <mergeCell ref="B4:F4"/>
    <mergeCell ref="B5:F5"/>
    <mergeCell ref="C39:D39"/>
    <mergeCell ref="C41:D41"/>
    <mergeCell ref="B22:F22"/>
    <mergeCell ref="C26:E26"/>
    <mergeCell ref="B17:F17"/>
    <mergeCell ref="B7:C7"/>
    <mergeCell ref="D7:E7"/>
    <mergeCell ref="B10:F10"/>
    <mergeCell ref="C11:E11"/>
    <mergeCell ref="D12:F12"/>
    <mergeCell ref="C14:E14"/>
    <mergeCell ref="B8:C8"/>
    <mergeCell ref="C13:E13"/>
    <mergeCell ref="C15:E15"/>
    <mergeCell ref="B6:C6"/>
    <mergeCell ref="D6:F6"/>
    <mergeCell ref="D8:E8"/>
  </mergeCells>
  <phoneticPr fontId="0" type="noConversion"/>
  <dataValidations count="8">
    <dataValidation type="whole" allowBlank="1" showInputMessage="1" showErrorMessage="1" errorTitle="Erro na inserção de dados." error="O percentual de ISS deve estar entre 2 e 5%, conforme o inciso I do artigo 8º e o caput do art. 8º-A da Lei Complementar nº 116/2003." sqref="F65">
      <formula1>2</formula1>
      <formula2>5</formula2>
    </dataValidation>
    <dataValidation type="whole" errorStyle="warning" operator="equal" allowBlank="1" showInputMessage="1" showErrorMessage="1" errorTitle="Atentar para o percentual." error="Tem certeza que o percentual do Cofins é diferente de 3%, previsto no art. 31 da Lei nº 10.833/2003?" sqref="F64">
      <formula1>3</formula1>
    </dataValidation>
    <dataValidation type="decimal" errorStyle="warning" operator="equal" allowBlank="1" showInputMessage="1" showErrorMessage="1" errorTitle="Atentar para o percentual." error="Tem certeza que o percentual do PIS é diferente de 0,65%, previsto no art. 31 da Lei nº 10.833/2003?" sqref="F63">
      <formula1>0.65</formula1>
    </dataValidation>
    <dataValidation type="decimal" errorStyle="warning" allowBlank="1" showInputMessage="1" showErrorMessage="1" errorTitle="Erro na inserção de dados." error="O percentual recomendado de lucro é de 5,57%, conforme estudos realizados pela Auditoria Interna do MPU." sqref="F62">
      <formula1>0</formula1>
      <formula2>5.57</formula2>
    </dataValidation>
    <dataValidation type="decimal" errorStyle="warning" allowBlank="1" showInputMessage="1" showErrorMessage="1" errorTitle="Erro na inserção de dados." error="O percentual recomendado de custos indiretos é de 4,73%, conforme estudos realizados pela Auditoria Interna do MPU." sqref="F61">
      <formula1>0</formula1>
      <formula2>4.73</formula2>
    </dataValidation>
    <dataValidation type="decimal" errorStyle="warning" operator="greaterThanOrEqual" allowBlank="1" showInputMessage="1" showErrorMessage="1" errorTitle="Atentar para o valor do salário." error="Tem certeza que o valor do salário-base é menor do que o salário mínimo vigente no país?" sqref="F32:F33">
      <formula1>F27</formula1>
    </dataValidation>
    <dataValidation type="list" allowBlank="1" showInputMessage="1" showErrorMessage="1" errorTitle="Erro na inserção de dados." error="Somente estão previstos 15 dias (intercalados), no caso de postos 12x36 horas, ou 22 dias (úteis), no caso de postos 44 horas." sqref="F42">
      <formula1>"15,20,21,22"</formula1>
    </dataValidation>
    <dataValidation type="list" allowBlank="1" showInputMessage="1" showErrorMessage="1" sqref="F13">
      <formula1>"AC,AL,AP,AM,BA,CE,DF,ES,GO,MA,MG,MS,MT,PA,PB,PR,PE,PI,RJ,RN,RO,RR,RS,SC,SP,SE,TO"</formula1>
    </dataValidation>
  </dataValidations>
  <pageMargins left="0.17" right="0.17" top="0.46" bottom="0.33" header="0.31496062000000002" footer="0.31496062000000002"/>
  <pageSetup paperSize="9" scale="85" orientation="portrait" r:id="rId1"/>
  <rowBreaks count="1" manualBreakCount="1">
    <brk id="44" max="16383" man="1"/>
  </rowBreaks>
  <colBreaks count="1" manualBreakCount="1">
    <brk id="6" max="6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B1:H35"/>
  <sheetViews>
    <sheetView tabSelected="1" view="pageBreakPreview" zoomScaleNormal="100" zoomScaleSheetLayoutView="100" workbookViewId="0">
      <selection activeCell="J6" sqref="J6"/>
    </sheetView>
  </sheetViews>
  <sheetFormatPr defaultRowHeight="12.75"/>
  <cols>
    <col min="3" max="3" width="46.28515625" customWidth="1"/>
    <col min="4" max="4" width="12.5703125" customWidth="1"/>
    <col min="5" max="5" width="13.7109375" customWidth="1"/>
    <col min="7" max="7" width="17.5703125" customWidth="1"/>
    <col min="8" max="8" width="17.140625" customWidth="1"/>
  </cols>
  <sheetData>
    <row r="1" spans="2:8" ht="25.5">
      <c r="B1" s="141" t="s">
        <v>202</v>
      </c>
      <c r="C1" s="141"/>
      <c r="D1" s="141"/>
      <c r="E1" s="141"/>
      <c r="F1" s="141"/>
      <c r="G1" s="141"/>
      <c r="H1" s="141"/>
    </row>
    <row r="2" spans="2:8" ht="16.5">
      <c r="B2" s="173" t="s">
        <v>203</v>
      </c>
      <c r="C2" s="173"/>
      <c r="D2" s="173"/>
      <c r="E2" s="173"/>
      <c r="F2" s="173"/>
      <c r="G2" s="173"/>
      <c r="H2" s="173"/>
    </row>
    <row r="3" spans="2:8" ht="16.5">
      <c r="B3" s="172" t="s">
        <v>204</v>
      </c>
      <c r="C3" s="172"/>
      <c r="D3" s="172"/>
      <c r="E3" s="172"/>
      <c r="F3" s="172"/>
      <c r="G3" s="172"/>
      <c r="H3" s="172"/>
    </row>
    <row r="4" spans="2:8" ht="66">
      <c r="B4" s="99" t="s">
        <v>173</v>
      </c>
      <c r="C4" s="94" t="s">
        <v>183</v>
      </c>
      <c r="D4" s="94" t="s">
        <v>174</v>
      </c>
      <c r="E4" s="94" t="s">
        <v>175</v>
      </c>
      <c r="F4" s="94" t="s">
        <v>176</v>
      </c>
      <c r="G4" s="94" t="s">
        <v>177</v>
      </c>
      <c r="H4" s="94" t="s">
        <v>178</v>
      </c>
    </row>
    <row r="5" spans="2:8" ht="49.5">
      <c r="B5" s="100">
        <v>1</v>
      </c>
      <c r="C5" s="101" t="s">
        <v>235</v>
      </c>
      <c r="D5" s="102" t="s">
        <v>209</v>
      </c>
      <c r="E5" s="117"/>
      <c r="F5" s="100">
        <v>2</v>
      </c>
      <c r="G5" s="103">
        <f>E5*F5</f>
        <v>0</v>
      </c>
      <c r="H5" s="103">
        <f>ROUND(G5/12,2)</f>
        <v>0</v>
      </c>
    </row>
    <row r="6" spans="2:8" ht="33">
      <c r="B6" s="104">
        <v>2</v>
      </c>
      <c r="C6" s="105" t="s">
        <v>205</v>
      </c>
      <c r="D6" s="106" t="s">
        <v>209</v>
      </c>
      <c r="E6" s="118"/>
      <c r="F6" s="104">
        <v>4</v>
      </c>
      <c r="G6" s="107">
        <f>E6*F6</f>
        <v>0</v>
      </c>
      <c r="H6" s="107">
        <f>ROUND(G6/12,2)</f>
        <v>0</v>
      </c>
    </row>
    <row r="7" spans="2:8" ht="33">
      <c r="B7" s="100">
        <v>3</v>
      </c>
      <c r="C7" s="101" t="s">
        <v>206</v>
      </c>
      <c r="D7" s="102" t="s">
        <v>210</v>
      </c>
      <c r="E7" s="117"/>
      <c r="F7" s="100">
        <v>4</v>
      </c>
      <c r="G7" s="103">
        <f>E7*F7</f>
        <v>0</v>
      </c>
      <c r="H7" s="103">
        <f>ROUND(G7/12,2)</f>
        <v>0</v>
      </c>
    </row>
    <row r="8" spans="2:8" ht="82.5">
      <c r="B8" s="104">
        <v>4</v>
      </c>
      <c r="C8" s="108" t="s">
        <v>207</v>
      </c>
      <c r="D8" s="109" t="s">
        <v>210</v>
      </c>
      <c r="E8" s="118"/>
      <c r="F8" s="104">
        <v>2</v>
      </c>
      <c r="G8" s="107">
        <f>E8*F8</f>
        <v>0</v>
      </c>
      <c r="H8" s="107">
        <f>ROUND(G8/12,2)</f>
        <v>0</v>
      </c>
    </row>
    <row r="9" spans="2:8" ht="115.5">
      <c r="B9" s="100">
        <v>5</v>
      </c>
      <c r="C9" s="101" t="s">
        <v>208</v>
      </c>
      <c r="D9" s="102" t="s">
        <v>210</v>
      </c>
      <c r="E9" s="117"/>
      <c r="F9" s="100">
        <v>2</v>
      </c>
      <c r="G9" s="103">
        <f>E9*F9</f>
        <v>0</v>
      </c>
      <c r="H9" s="103">
        <f>ROUND(G9/12,2)</f>
        <v>0</v>
      </c>
    </row>
    <row r="10" spans="2:8" ht="16.5">
      <c r="B10" s="161" t="s">
        <v>179</v>
      </c>
      <c r="C10" s="162"/>
      <c r="D10" s="162"/>
      <c r="E10" s="162"/>
      <c r="F10" s="162"/>
      <c r="G10" s="163"/>
      <c r="H10" s="34">
        <f>SUM(H5:H9)</f>
        <v>0</v>
      </c>
    </row>
    <row r="14" spans="2:8" ht="16.5">
      <c r="B14" s="171" t="s">
        <v>211</v>
      </c>
      <c r="C14" s="171"/>
      <c r="D14" s="171"/>
      <c r="E14" s="171"/>
      <c r="F14" s="171"/>
      <c r="G14" s="171"/>
      <c r="H14" s="171"/>
    </row>
    <row r="15" spans="2:8" ht="16.5">
      <c r="B15" s="172" t="s">
        <v>212</v>
      </c>
      <c r="C15" s="172"/>
      <c r="D15" s="172"/>
      <c r="E15" s="172"/>
      <c r="F15" s="172"/>
      <c r="G15" s="172"/>
      <c r="H15" s="172"/>
    </row>
    <row r="16" spans="2:8" ht="66">
      <c r="B16" s="99" t="s">
        <v>173</v>
      </c>
      <c r="C16" s="94" t="s">
        <v>183</v>
      </c>
      <c r="D16" s="94" t="s">
        <v>174</v>
      </c>
      <c r="E16" s="94" t="s">
        <v>175</v>
      </c>
      <c r="F16" s="94" t="s">
        <v>176</v>
      </c>
      <c r="G16" s="94" t="s">
        <v>177</v>
      </c>
      <c r="H16" s="94" t="s">
        <v>178</v>
      </c>
    </row>
    <row r="17" spans="2:8" ht="49.5">
      <c r="B17" s="100">
        <v>1</v>
      </c>
      <c r="C17" s="101" t="s">
        <v>214</v>
      </c>
      <c r="D17" s="102" t="s">
        <v>209</v>
      </c>
      <c r="E17" s="117"/>
      <c r="F17" s="100">
        <v>2</v>
      </c>
      <c r="G17" s="103">
        <f>E17*F17</f>
        <v>0</v>
      </c>
      <c r="H17" s="103">
        <f>ROUND(G17/12,2)</f>
        <v>0</v>
      </c>
    </row>
    <row r="18" spans="2:8" ht="49.5">
      <c r="B18" s="104">
        <v>2</v>
      </c>
      <c r="C18" s="105" t="s">
        <v>213</v>
      </c>
      <c r="D18" s="106" t="s">
        <v>209</v>
      </c>
      <c r="E18" s="118"/>
      <c r="F18" s="104">
        <v>4</v>
      </c>
      <c r="G18" s="107">
        <f>E18*F18</f>
        <v>0</v>
      </c>
      <c r="H18" s="107">
        <f>ROUND(G18/12,2)</f>
        <v>0</v>
      </c>
    </row>
    <row r="19" spans="2:8" ht="50.25" customHeight="1">
      <c r="B19" s="100">
        <v>3</v>
      </c>
      <c r="C19" s="101" t="s">
        <v>215</v>
      </c>
      <c r="D19" s="102" t="s">
        <v>209</v>
      </c>
      <c r="E19" s="117"/>
      <c r="F19" s="100">
        <v>2</v>
      </c>
      <c r="G19" s="103">
        <f>E19*F19</f>
        <v>0</v>
      </c>
      <c r="H19" s="103">
        <f>ROUND(G19/12,2)</f>
        <v>0</v>
      </c>
    </row>
    <row r="20" spans="2:8" ht="66">
      <c r="B20" s="104">
        <v>4</v>
      </c>
      <c r="C20" s="108" t="s">
        <v>216</v>
      </c>
      <c r="D20" s="109" t="s">
        <v>210</v>
      </c>
      <c r="E20" s="118"/>
      <c r="F20" s="104">
        <v>2</v>
      </c>
      <c r="G20" s="107">
        <f>E20*F20</f>
        <v>0</v>
      </c>
      <c r="H20" s="107">
        <f>ROUND(G20/12,2)</f>
        <v>0</v>
      </c>
    </row>
    <row r="21" spans="2:8" ht="16.5">
      <c r="B21" s="100">
        <v>5</v>
      </c>
      <c r="C21" s="101" t="s">
        <v>218</v>
      </c>
      <c r="D21" s="102" t="s">
        <v>210</v>
      </c>
      <c r="E21" s="117"/>
      <c r="F21" s="100">
        <v>4</v>
      </c>
      <c r="G21" s="103">
        <f>E21*F21</f>
        <v>0</v>
      </c>
      <c r="H21" s="103">
        <f>ROUND(G21/12,2)</f>
        <v>0</v>
      </c>
    </row>
    <row r="22" spans="2:8" ht="16.5">
      <c r="B22" s="161" t="s">
        <v>217</v>
      </c>
      <c r="C22" s="162"/>
      <c r="D22" s="162"/>
      <c r="E22" s="162"/>
      <c r="F22" s="162"/>
      <c r="G22" s="163"/>
      <c r="H22" s="34">
        <f>SUM(H17:H21)</f>
        <v>0</v>
      </c>
    </row>
    <row r="25" spans="2:8" ht="16.5">
      <c r="B25" s="171" t="s">
        <v>219</v>
      </c>
      <c r="C25" s="171"/>
      <c r="D25" s="171"/>
      <c r="E25" s="171"/>
      <c r="F25" s="171"/>
      <c r="G25" s="171"/>
      <c r="H25" s="171"/>
    </row>
    <row r="26" spans="2:8" ht="16.5">
      <c r="B26" s="172" t="s">
        <v>220</v>
      </c>
      <c r="C26" s="172"/>
      <c r="D26" s="172"/>
      <c r="E26" s="172"/>
      <c r="F26" s="172"/>
      <c r="G26" s="172"/>
      <c r="H26" s="172"/>
    </row>
    <row r="27" spans="2:8" ht="66">
      <c r="B27" s="99" t="s">
        <v>173</v>
      </c>
      <c r="C27" s="94" t="s">
        <v>183</v>
      </c>
      <c r="D27" s="94" t="s">
        <v>174</v>
      </c>
      <c r="E27" s="94" t="s">
        <v>175</v>
      </c>
      <c r="F27" s="94" t="s">
        <v>176</v>
      </c>
      <c r="G27" s="94" t="s">
        <v>177</v>
      </c>
      <c r="H27" s="94" t="s">
        <v>178</v>
      </c>
    </row>
    <row r="28" spans="2:8" ht="49.5">
      <c r="B28" s="100">
        <v>1</v>
      </c>
      <c r="C28" s="101" t="s">
        <v>223</v>
      </c>
      <c r="D28" s="102" t="s">
        <v>209</v>
      </c>
      <c r="E28" s="117"/>
      <c r="F28" s="100">
        <v>2</v>
      </c>
      <c r="G28" s="103">
        <f t="shared" ref="G28:G33" si="0">E28*F28</f>
        <v>0</v>
      </c>
      <c r="H28" s="103">
        <f t="shared" ref="H28:H33" si="1">ROUND(G28/12,2)</f>
        <v>0</v>
      </c>
    </row>
    <row r="29" spans="2:8" ht="49.5">
      <c r="B29" s="104">
        <v>2</v>
      </c>
      <c r="C29" s="105" t="s">
        <v>224</v>
      </c>
      <c r="D29" s="106" t="s">
        <v>209</v>
      </c>
      <c r="E29" s="118"/>
      <c r="F29" s="104">
        <v>4</v>
      </c>
      <c r="G29" s="107">
        <f t="shared" si="0"/>
        <v>0</v>
      </c>
      <c r="H29" s="107">
        <f t="shared" si="1"/>
        <v>0</v>
      </c>
    </row>
    <row r="30" spans="2:8" ht="50.25" customHeight="1">
      <c r="B30" s="100">
        <v>3</v>
      </c>
      <c r="C30" s="101" t="s">
        <v>225</v>
      </c>
      <c r="D30" s="102" t="s">
        <v>209</v>
      </c>
      <c r="E30" s="117"/>
      <c r="F30" s="100">
        <v>2</v>
      </c>
      <c r="G30" s="103">
        <f t="shared" si="0"/>
        <v>0</v>
      </c>
      <c r="H30" s="103">
        <f t="shared" si="1"/>
        <v>0</v>
      </c>
    </row>
    <row r="31" spans="2:8" ht="49.5">
      <c r="B31" s="104">
        <v>4</v>
      </c>
      <c r="C31" s="108" t="s">
        <v>226</v>
      </c>
      <c r="D31" s="109" t="s">
        <v>210</v>
      </c>
      <c r="E31" s="118"/>
      <c r="F31" s="104">
        <v>2</v>
      </c>
      <c r="G31" s="107">
        <f t="shared" si="0"/>
        <v>0</v>
      </c>
      <c r="H31" s="107">
        <f t="shared" si="1"/>
        <v>0</v>
      </c>
    </row>
    <row r="32" spans="2:8" ht="16.5">
      <c r="B32" s="100">
        <v>5</v>
      </c>
      <c r="C32" s="101" t="s">
        <v>227</v>
      </c>
      <c r="D32" s="102" t="s">
        <v>210</v>
      </c>
      <c r="E32" s="117"/>
      <c r="F32" s="100">
        <v>4</v>
      </c>
      <c r="G32" s="103">
        <f t="shared" si="0"/>
        <v>0</v>
      </c>
      <c r="H32" s="103">
        <f t="shared" si="1"/>
        <v>0</v>
      </c>
    </row>
    <row r="33" spans="2:8" ht="16.5">
      <c r="B33" s="104">
        <v>6</v>
      </c>
      <c r="C33" s="108" t="s">
        <v>228</v>
      </c>
      <c r="D33" s="109" t="s">
        <v>209</v>
      </c>
      <c r="E33" s="118"/>
      <c r="F33" s="104">
        <v>2</v>
      </c>
      <c r="G33" s="107">
        <f t="shared" si="0"/>
        <v>0</v>
      </c>
      <c r="H33" s="107">
        <f t="shared" si="1"/>
        <v>0</v>
      </c>
    </row>
    <row r="34" spans="2:8" ht="16.5">
      <c r="B34" s="161" t="s">
        <v>221</v>
      </c>
      <c r="C34" s="162"/>
      <c r="D34" s="162"/>
      <c r="E34" s="162"/>
      <c r="F34" s="162"/>
      <c r="G34" s="163"/>
      <c r="H34" s="34">
        <f>SUM(H28:H33)</f>
        <v>0</v>
      </c>
    </row>
    <row r="35" spans="2:8" ht="16.5">
      <c r="B35" s="161" t="s">
        <v>222</v>
      </c>
      <c r="C35" s="162"/>
      <c r="D35" s="162"/>
      <c r="E35" s="162"/>
      <c r="F35" s="162"/>
      <c r="G35" s="163"/>
      <c r="H35" s="34">
        <f>ROUND(AVERAGE(H22,H34),2)</f>
        <v>0</v>
      </c>
    </row>
  </sheetData>
  <mergeCells count="11">
    <mergeCell ref="B1:H1"/>
    <mergeCell ref="B2:H2"/>
    <mergeCell ref="B3:H3"/>
    <mergeCell ref="B10:G10"/>
    <mergeCell ref="B14:H14"/>
    <mergeCell ref="B35:G35"/>
    <mergeCell ref="B22:G22"/>
    <mergeCell ref="B25:H25"/>
    <mergeCell ref="B26:H26"/>
    <mergeCell ref="B34:G34"/>
    <mergeCell ref="B15:H15"/>
  </mergeCells>
  <phoneticPr fontId="0" type="noConversion"/>
  <pageMargins left="0.511811024" right="0.511811024" top="0.78740157499999996" bottom="0.78740157499999996" header="0.31496062000000002" footer="0.31496062000000002"/>
  <pageSetup paperSize="9" scale="70" orientation="portrait" r:id="rId1"/>
  <rowBreaks count="1" manualBreakCount="1">
    <brk id="13" min="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B1:R14"/>
  <sheetViews>
    <sheetView view="pageBreakPreview" topLeftCell="C1" zoomScaleNormal="100" zoomScaleSheetLayoutView="100" workbookViewId="0">
      <selection activeCell="N14" sqref="N14"/>
    </sheetView>
  </sheetViews>
  <sheetFormatPr defaultRowHeight="12.75"/>
  <cols>
    <col min="2" max="2" width="7" customWidth="1"/>
    <col min="3" max="3" width="66.42578125" customWidth="1"/>
    <col min="4" max="4" width="13.28515625" customWidth="1"/>
    <col min="5" max="5" width="6" customWidth="1"/>
    <col min="6" max="6" width="5.28515625" customWidth="1"/>
    <col min="7" max="7" width="4.7109375" customWidth="1"/>
    <col min="8" max="8" width="5" customWidth="1"/>
    <col min="9" max="9" width="5.140625" customWidth="1"/>
    <col min="10" max="10" width="4.28515625" customWidth="1"/>
    <col min="11" max="11" width="4" customWidth="1"/>
    <col min="12" max="12" width="4.5703125" customWidth="1"/>
    <col min="13" max="13" width="4.42578125" customWidth="1"/>
    <col min="14" max="15" width="4.140625" customWidth="1"/>
    <col min="17" max="17" width="14.28515625" customWidth="1"/>
    <col min="18" max="18" width="16.28515625" customWidth="1"/>
  </cols>
  <sheetData>
    <row r="1" spans="2:18" ht="25.5">
      <c r="B1" s="141" t="s">
        <v>186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</row>
    <row r="2" spans="2:18" ht="16.5">
      <c r="B2" s="173" t="s">
        <v>184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</row>
    <row r="3" spans="2:18" ht="16.5">
      <c r="B3" s="173" t="s">
        <v>185</v>
      </c>
      <c r="C3" s="173"/>
      <c r="D3" s="173"/>
      <c r="E3" s="173"/>
      <c r="F3" s="173"/>
      <c r="G3" s="173"/>
      <c r="H3" s="173"/>
      <c r="I3" s="173" t="s">
        <v>185</v>
      </c>
      <c r="J3" s="173"/>
      <c r="K3" s="173"/>
      <c r="L3" s="173"/>
      <c r="M3" s="173"/>
      <c r="N3" s="173"/>
      <c r="O3" s="173"/>
      <c r="P3" s="173"/>
      <c r="Q3" s="173"/>
      <c r="R3" s="173"/>
    </row>
    <row r="4" spans="2:18" ht="16.5"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5" spans="2:18" ht="87" customHeight="1">
      <c r="B5" s="99" t="s">
        <v>173</v>
      </c>
      <c r="C5" s="94" t="s">
        <v>183</v>
      </c>
      <c r="D5" s="94" t="s">
        <v>174</v>
      </c>
      <c r="E5" s="111" t="s">
        <v>189</v>
      </c>
      <c r="F5" s="111" t="s">
        <v>190</v>
      </c>
      <c r="G5" s="111" t="s">
        <v>191</v>
      </c>
      <c r="H5" s="111" t="s">
        <v>192</v>
      </c>
      <c r="I5" s="111" t="s">
        <v>193</v>
      </c>
      <c r="J5" s="111" t="s">
        <v>194</v>
      </c>
      <c r="K5" s="111" t="s">
        <v>195</v>
      </c>
      <c r="L5" s="111" t="s">
        <v>196</v>
      </c>
      <c r="M5" s="111" t="s">
        <v>197</v>
      </c>
      <c r="N5" s="111" t="s">
        <v>198</v>
      </c>
      <c r="O5" s="111" t="s">
        <v>199</v>
      </c>
      <c r="P5" s="94" t="s">
        <v>176</v>
      </c>
      <c r="Q5" s="94" t="s">
        <v>232</v>
      </c>
      <c r="R5" s="94" t="s">
        <v>188</v>
      </c>
    </row>
    <row r="6" spans="2:18" ht="16.5">
      <c r="B6" s="100">
        <v>1</v>
      </c>
      <c r="C6" s="101" t="s">
        <v>182</v>
      </c>
      <c r="D6" s="102" t="s">
        <v>233</v>
      </c>
      <c r="E6" s="102">
        <v>9</v>
      </c>
      <c r="F6" s="102">
        <v>2</v>
      </c>
      <c r="G6" s="102">
        <v>1</v>
      </c>
      <c r="H6" s="102">
        <v>1</v>
      </c>
      <c r="I6" s="102">
        <v>1</v>
      </c>
      <c r="J6" s="102">
        <v>1</v>
      </c>
      <c r="K6" s="102">
        <v>1</v>
      </c>
      <c r="L6" s="102">
        <v>1</v>
      </c>
      <c r="M6" s="102">
        <v>1</v>
      </c>
      <c r="N6" s="102">
        <v>2</v>
      </c>
      <c r="O6" s="102">
        <v>1</v>
      </c>
      <c r="P6" s="100">
        <f>SUM(E6:O6)</f>
        <v>21</v>
      </c>
      <c r="Q6" s="119"/>
      <c r="R6" s="103">
        <f>ROUND(P6*Q6,2)</f>
        <v>0</v>
      </c>
    </row>
    <row r="7" spans="2:18" ht="20.25" customHeight="1">
      <c r="B7" s="104">
        <v>2</v>
      </c>
      <c r="C7" s="105" t="s">
        <v>187</v>
      </c>
      <c r="D7" s="106" t="s">
        <v>233</v>
      </c>
      <c r="E7" s="106">
        <v>9</v>
      </c>
      <c r="F7" s="106">
        <v>2</v>
      </c>
      <c r="G7" s="106">
        <v>1</v>
      </c>
      <c r="H7" s="106">
        <v>1</v>
      </c>
      <c r="I7" s="106">
        <v>1</v>
      </c>
      <c r="J7" s="106">
        <v>1</v>
      </c>
      <c r="K7" s="106">
        <v>1</v>
      </c>
      <c r="L7" s="106">
        <v>1</v>
      </c>
      <c r="M7" s="106">
        <v>1</v>
      </c>
      <c r="N7" s="106">
        <v>2</v>
      </c>
      <c r="O7" s="106">
        <v>1</v>
      </c>
      <c r="P7" s="106">
        <f>SUM(E7:O7)</f>
        <v>21</v>
      </c>
      <c r="Q7" s="120"/>
      <c r="R7" s="107">
        <f>ROUND(P7*Q7,2)</f>
        <v>0</v>
      </c>
    </row>
    <row r="8" spans="2:18" ht="18" customHeight="1">
      <c r="B8" s="161" t="s">
        <v>200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3"/>
      <c r="R8" s="34">
        <f>SUM(R6:R7)</f>
        <v>0</v>
      </c>
    </row>
    <row r="9" spans="2:18" ht="16.5">
      <c r="B9" s="161" t="s">
        <v>201</v>
      </c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3"/>
      <c r="R9" s="34">
        <f>(R8/12)/21</f>
        <v>0</v>
      </c>
    </row>
    <row r="12" spans="2:18">
      <c r="Q12" s="110"/>
    </row>
    <row r="13" spans="2:18">
      <c r="Q13" s="110"/>
    </row>
    <row r="14" spans="2:18">
      <c r="Q14" s="112"/>
    </row>
  </sheetData>
  <mergeCells count="6">
    <mergeCell ref="B9:Q9"/>
    <mergeCell ref="B1:R1"/>
    <mergeCell ref="B2:R2"/>
    <mergeCell ref="B4:R4"/>
    <mergeCell ref="B8:Q8"/>
    <mergeCell ref="B3:R3"/>
  </mergeCells>
  <phoneticPr fontId="0" type="noConversion"/>
  <pageMargins left="0.511811024" right="0.511811024" top="0.78740157499999996" bottom="0.78740157499999996" header="0.31496062000000002" footer="0.31496062000000002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8"/>
  <sheetViews>
    <sheetView view="pageBreakPreview" topLeftCell="A41" zoomScaleNormal="100" zoomScaleSheetLayoutView="100" workbookViewId="0">
      <selection activeCell="H41" sqref="H41"/>
    </sheetView>
  </sheetViews>
  <sheetFormatPr defaultRowHeight="16.5"/>
  <cols>
    <col min="1" max="1" width="2.7109375" style="7" customWidth="1"/>
    <col min="2" max="2" width="8.85546875" style="7" customWidth="1"/>
    <col min="3" max="3" width="52.5703125" style="12" customWidth="1"/>
    <col min="4" max="4" width="9.5703125" style="12" customWidth="1"/>
    <col min="5" max="5" width="13.5703125" style="12" customWidth="1"/>
    <col min="6" max="6" width="15.42578125" style="12" bestFit="1" customWidth="1"/>
    <col min="7" max="16384" width="9.140625" style="7"/>
  </cols>
  <sheetData>
    <row r="1" spans="1:6" s="67" customFormat="1" ht="25.5">
      <c r="B1" s="83" t="s">
        <v>142</v>
      </c>
      <c r="C1" s="7"/>
      <c r="D1" s="7"/>
      <c r="E1" s="7"/>
      <c r="F1" s="7"/>
    </row>
    <row r="2" spans="1:6">
      <c r="B2" s="38" t="s">
        <v>8</v>
      </c>
      <c r="E2" s="8"/>
      <c r="F2" s="8"/>
    </row>
    <row r="3" spans="1:6" ht="33">
      <c r="B3" s="1">
        <v>1</v>
      </c>
      <c r="C3" s="164" t="s">
        <v>9</v>
      </c>
      <c r="D3" s="164"/>
      <c r="E3" s="164"/>
      <c r="F3" s="3" t="s">
        <v>159</v>
      </c>
    </row>
    <row r="4" spans="1:6">
      <c r="B4" s="1" t="s">
        <v>6</v>
      </c>
      <c r="C4" s="149" t="s">
        <v>106</v>
      </c>
      <c r="D4" s="150"/>
      <c r="E4" s="151"/>
      <c r="F4" s="55">
        <v>220</v>
      </c>
    </row>
    <row r="5" spans="1:6">
      <c r="B5" s="1" t="s">
        <v>7</v>
      </c>
      <c r="C5" s="177" t="s">
        <v>100</v>
      </c>
      <c r="D5" s="177"/>
      <c r="E5" s="177"/>
      <c r="F5" s="53">
        <v>7</v>
      </c>
    </row>
    <row r="6" spans="1:6">
      <c r="B6" s="1" t="s">
        <v>10</v>
      </c>
      <c r="C6" s="149" t="s">
        <v>99</v>
      </c>
      <c r="D6" s="150"/>
      <c r="E6" s="151"/>
      <c r="F6" s="55">
        <v>365</v>
      </c>
    </row>
    <row r="7" spans="1:6">
      <c r="B7" s="1" t="s">
        <v>12</v>
      </c>
      <c r="C7" s="177" t="s">
        <v>123</v>
      </c>
      <c r="D7" s="177"/>
      <c r="E7" s="177"/>
      <c r="F7" s="54">
        <v>15.2</v>
      </c>
    </row>
    <row r="8" spans="1:6">
      <c r="B8" s="1" t="s">
        <v>105</v>
      </c>
      <c r="C8" s="149" t="s">
        <v>107</v>
      </c>
      <c r="D8" s="150"/>
      <c r="E8" s="151"/>
      <c r="F8" s="55">
        <v>12</v>
      </c>
    </row>
    <row r="9" spans="1:6">
      <c r="B9" s="1" t="s">
        <v>111</v>
      </c>
      <c r="C9" s="177" t="s">
        <v>101</v>
      </c>
      <c r="D9" s="177"/>
      <c r="E9" s="177"/>
      <c r="F9" s="53">
        <v>60</v>
      </c>
    </row>
    <row r="10" spans="1:6">
      <c r="B10" s="1" t="s">
        <v>112</v>
      </c>
      <c r="C10" s="149" t="s">
        <v>102</v>
      </c>
      <c r="D10" s="150"/>
      <c r="E10" s="151"/>
      <c r="F10" s="56">
        <v>52.5</v>
      </c>
    </row>
    <row r="11" spans="1:6" s="74" customFormat="1"/>
    <row r="12" spans="1:6" s="74" customFormat="1">
      <c r="A12" s="7"/>
      <c r="B12" s="38" t="s">
        <v>62</v>
      </c>
      <c r="C12" s="67"/>
      <c r="D12" s="67"/>
      <c r="E12" s="67"/>
      <c r="F12" s="67"/>
    </row>
    <row r="13" spans="1:6" s="74" customFormat="1" ht="15" customHeight="1">
      <c r="A13" s="7"/>
      <c r="B13" s="1" t="s">
        <v>75</v>
      </c>
      <c r="C13" s="142" t="s">
        <v>14</v>
      </c>
      <c r="D13" s="143"/>
      <c r="E13" s="3" t="s">
        <v>33</v>
      </c>
      <c r="F13" s="3" t="s">
        <v>1</v>
      </c>
    </row>
    <row r="14" spans="1:6" s="74" customFormat="1">
      <c r="B14" s="62" t="s">
        <v>4</v>
      </c>
      <c r="C14" s="144" t="s">
        <v>124</v>
      </c>
      <c r="D14" s="144"/>
      <c r="E14" s="23" t="s">
        <v>122</v>
      </c>
      <c r="F14" s="58">
        <v>6</v>
      </c>
    </row>
    <row r="15" spans="1:6" s="74" customFormat="1"/>
    <row r="16" spans="1:6" s="67" customFormat="1">
      <c r="A16" s="74"/>
      <c r="B16" s="38" t="s">
        <v>63</v>
      </c>
      <c r="C16" s="6"/>
      <c r="D16" s="15"/>
      <c r="E16" s="13"/>
      <c r="F16" s="13"/>
    </row>
    <row r="17" spans="1:6" s="67" customFormat="1">
      <c r="A17" s="74"/>
      <c r="B17" s="1">
        <v>3</v>
      </c>
      <c r="C17" s="161" t="s">
        <v>43</v>
      </c>
      <c r="D17" s="162"/>
      <c r="E17" s="163"/>
      <c r="F17" s="3" t="s">
        <v>160</v>
      </c>
    </row>
    <row r="18" spans="1:6" s="67" customFormat="1">
      <c r="A18" s="74"/>
      <c r="B18" s="1" t="s">
        <v>2</v>
      </c>
      <c r="C18" s="149" t="s">
        <v>118</v>
      </c>
      <c r="D18" s="150"/>
      <c r="E18" s="151"/>
      <c r="F18" s="42">
        <v>62.93</v>
      </c>
    </row>
    <row r="19" spans="1:6">
      <c r="A19" s="74"/>
      <c r="B19" s="2" t="s">
        <v>3</v>
      </c>
      <c r="C19" s="174" t="s">
        <v>108</v>
      </c>
      <c r="D19" s="175"/>
      <c r="E19" s="176"/>
      <c r="F19" s="29">
        <v>5.55</v>
      </c>
    </row>
    <row r="20" spans="1:6" s="67" customFormat="1" ht="15.95" customHeight="1">
      <c r="B20" s="2" t="s">
        <v>4</v>
      </c>
      <c r="C20" s="149" t="s">
        <v>109</v>
      </c>
      <c r="D20" s="150"/>
      <c r="E20" s="151"/>
      <c r="F20" s="57">
        <v>40</v>
      </c>
    </row>
    <row r="21" spans="1:6" ht="16.5" customHeight="1">
      <c r="A21" s="74"/>
      <c r="B21" s="2" t="s">
        <v>5</v>
      </c>
      <c r="C21" s="174" t="s">
        <v>110</v>
      </c>
      <c r="D21" s="175"/>
      <c r="E21" s="176"/>
      <c r="F21" s="58">
        <v>94.45</v>
      </c>
    </row>
    <row r="22" spans="1:6">
      <c r="A22" s="74"/>
      <c r="B22" s="2" t="s">
        <v>6</v>
      </c>
      <c r="C22" s="149" t="s">
        <v>120</v>
      </c>
      <c r="D22" s="150"/>
      <c r="E22" s="151"/>
      <c r="F22" s="57">
        <v>30</v>
      </c>
    </row>
    <row r="23" spans="1:6" s="74" customFormat="1"/>
    <row r="24" spans="1:6" s="67" customFormat="1">
      <c r="B24" s="38" t="s">
        <v>64</v>
      </c>
      <c r="C24" s="6"/>
      <c r="D24" s="15"/>
      <c r="E24" s="7"/>
      <c r="F24" s="7"/>
    </row>
    <row r="25" spans="1:6" s="67" customFormat="1" ht="15" customHeight="1">
      <c r="B25" s="38" t="s">
        <v>85</v>
      </c>
      <c r="C25" s="6"/>
      <c r="D25" s="15"/>
      <c r="E25" s="13"/>
      <c r="F25" s="13"/>
    </row>
    <row r="26" spans="1:6" s="67" customFormat="1">
      <c r="B26" s="1" t="s">
        <v>19</v>
      </c>
      <c r="C26" s="155" t="s">
        <v>86</v>
      </c>
      <c r="D26" s="156"/>
      <c r="E26" s="157"/>
      <c r="F26" s="3" t="s">
        <v>160</v>
      </c>
    </row>
    <row r="27" spans="1:6" s="67" customFormat="1">
      <c r="B27" s="1" t="s">
        <v>2</v>
      </c>
      <c r="C27" s="149" t="s">
        <v>113</v>
      </c>
      <c r="D27" s="150"/>
      <c r="E27" s="151"/>
      <c r="F27" s="57">
        <v>8</v>
      </c>
    </row>
    <row r="28" spans="1:6">
      <c r="A28" s="67"/>
      <c r="B28" s="2" t="s">
        <v>3</v>
      </c>
      <c r="C28" s="152" t="s">
        <v>114</v>
      </c>
      <c r="D28" s="153"/>
      <c r="E28" s="154"/>
      <c r="F28" s="58">
        <v>20</v>
      </c>
    </row>
    <row r="29" spans="1:6">
      <c r="A29" s="67"/>
      <c r="B29" s="2" t="s">
        <v>4</v>
      </c>
      <c r="C29" s="149" t="s">
        <v>115</v>
      </c>
      <c r="D29" s="150"/>
      <c r="E29" s="151"/>
      <c r="F29" s="42">
        <v>1.42</v>
      </c>
    </row>
    <row r="30" spans="1:6">
      <c r="A30" s="67"/>
      <c r="B30" s="2" t="s">
        <v>5</v>
      </c>
      <c r="C30" s="152" t="s">
        <v>152</v>
      </c>
      <c r="D30" s="153"/>
      <c r="E30" s="154"/>
      <c r="F30" s="29">
        <v>45.22</v>
      </c>
    </row>
    <row r="31" spans="1:6" s="67" customFormat="1" ht="15.95" customHeight="1">
      <c r="A31" s="7"/>
      <c r="B31" s="2" t="s">
        <v>6</v>
      </c>
      <c r="C31" s="149" t="s">
        <v>116</v>
      </c>
      <c r="D31" s="150"/>
      <c r="E31" s="151"/>
      <c r="F31" s="42">
        <f>(154800/34808000)*100</f>
        <v>0.44</v>
      </c>
    </row>
    <row r="32" spans="1:6" ht="15.75" customHeight="1">
      <c r="A32" s="67"/>
      <c r="B32" s="2" t="s">
        <v>7</v>
      </c>
      <c r="C32" s="152" t="s">
        <v>121</v>
      </c>
      <c r="D32" s="153"/>
      <c r="E32" s="154"/>
      <c r="F32" s="58">
        <v>15</v>
      </c>
    </row>
    <row r="33" spans="1:6" ht="15.75" customHeight="1">
      <c r="A33" s="67"/>
      <c r="B33" s="2" t="s">
        <v>10</v>
      </c>
      <c r="C33" s="149" t="s">
        <v>117</v>
      </c>
      <c r="D33" s="150"/>
      <c r="E33" s="151"/>
      <c r="F33" s="57">
        <v>180</v>
      </c>
    </row>
    <row r="34" spans="1:6">
      <c r="A34" s="67"/>
      <c r="B34" s="2" t="s">
        <v>11</v>
      </c>
      <c r="C34" s="152" t="s">
        <v>153</v>
      </c>
      <c r="D34" s="153"/>
      <c r="E34" s="154"/>
      <c r="F34" s="29">
        <v>54.78</v>
      </c>
    </row>
    <row r="35" spans="1:6" s="74" customFormat="1" ht="8.25" customHeight="1"/>
    <row r="36" spans="1:6" s="74" customFormat="1"/>
    <row r="37" spans="1:6" ht="20.25">
      <c r="B37" s="26" t="s">
        <v>135</v>
      </c>
      <c r="C37" s="27"/>
      <c r="D37" s="27"/>
      <c r="E37" s="27"/>
      <c r="F37" s="28"/>
    </row>
    <row r="38" spans="1:6" ht="33.75" customHeight="1">
      <c r="B38" s="159" t="s">
        <v>156</v>
      </c>
      <c r="C38" s="159"/>
      <c r="D38" s="159"/>
      <c r="E38" s="159"/>
      <c r="F38" s="159"/>
    </row>
  </sheetData>
  <mergeCells count="26">
    <mergeCell ref="C10:E10"/>
    <mergeCell ref="C3:E3"/>
    <mergeCell ref="C4:E4"/>
    <mergeCell ref="C5:E5"/>
    <mergeCell ref="C6:E6"/>
    <mergeCell ref="C7:E7"/>
    <mergeCell ref="C8:E8"/>
    <mergeCell ref="C9:E9"/>
    <mergeCell ref="C29:E29"/>
    <mergeCell ref="C17:E17"/>
    <mergeCell ref="C18:E18"/>
    <mergeCell ref="C19:E19"/>
    <mergeCell ref="C13:D13"/>
    <mergeCell ref="C14:D14"/>
    <mergeCell ref="C20:E20"/>
    <mergeCell ref="C21:E21"/>
    <mergeCell ref="C22:E22"/>
    <mergeCell ref="C26:E26"/>
    <mergeCell ref="C27:E27"/>
    <mergeCell ref="C28:E28"/>
    <mergeCell ref="C30:E30"/>
    <mergeCell ref="C31:E31"/>
    <mergeCell ref="C32:E32"/>
    <mergeCell ref="B38:F38"/>
    <mergeCell ref="C34:E34"/>
    <mergeCell ref="C33:E33"/>
  </mergeCells>
  <phoneticPr fontId="0" type="noConversion"/>
  <pageMargins left="0.511811024" right="0.511811024" top="0.78740157499999996" bottom="0.78740157499999996" header="0.31496062000000002" footer="0.31496062000000002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G34"/>
  <sheetViews>
    <sheetView view="pageBreakPreview" zoomScaleNormal="100" zoomScaleSheetLayoutView="100" workbookViewId="0">
      <selection activeCell="F10" sqref="F10"/>
    </sheetView>
  </sheetViews>
  <sheetFormatPr defaultRowHeight="16.5"/>
  <cols>
    <col min="1" max="1" width="2.7109375" style="7" customWidth="1"/>
    <col min="2" max="2" width="8.85546875" style="7" customWidth="1"/>
    <col min="3" max="3" width="52.5703125" style="12" customWidth="1"/>
    <col min="4" max="4" width="22" style="12" customWidth="1"/>
    <col min="5" max="5" width="13.5703125" style="12" customWidth="1"/>
    <col min="6" max="6" width="43.85546875" style="7" customWidth="1"/>
    <col min="7" max="7" width="51.7109375" style="7" customWidth="1"/>
    <col min="8" max="16384" width="9.140625" style="7"/>
  </cols>
  <sheetData>
    <row r="1" spans="2:7" s="67" customFormat="1" ht="25.5">
      <c r="B1" s="83" t="s">
        <v>143</v>
      </c>
      <c r="C1" s="7"/>
      <c r="D1" s="7"/>
      <c r="E1" s="7"/>
      <c r="F1" s="7"/>
      <c r="G1" s="7"/>
    </row>
    <row r="2" spans="2:7">
      <c r="B2" s="38" t="s">
        <v>57</v>
      </c>
      <c r="E2" s="14"/>
    </row>
    <row r="3" spans="2:7">
      <c r="B3" s="38" t="s">
        <v>92</v>
      </c>
      <c r="C3" s="6"/>
      <c r="D3" s="15"/>
      <c r="E3" s="13"/>
    </row>
    <row r="4" spans="2:7">
      <c r="B4" s="1" t="s">
        <v>58</v>
      </c>
      <c r="C4" s="178" t="s">
        <v>77</v>
      </c>
      <c r="D4" s="178"/>
      <c r="E4" s="3" t="s">
        <v>1</v>
      </c>
      <c r="F4" s="3" t="s">
        <v>144</v>
      </c>
    </row>
    <row r="5" spans="2:7">
      <c r="B5" s="1" t="s">
        <v>2</v>
      </c>
      <c r="C5" s="158" t="s">
        <v>42</v>
      </c>
      <c r="D5" s="158"/>
      <c r="E5" s="43">
        <f ca="1">(1/MESES_NO_ANO)*100</f>
        <v>8.33</v>
      </c>
      <c r="F5" s="43" t="s">
        <v>145</v>
      </c>
    </row>
    <row r="6" spans="2:7">
      <c r="B6" s="2" t="s">
        <v>3</v>
      </c>
      <c r="C6" s="167" t="s">
        <v>78</v>
      </c>
      <c r="D6" s="167"/>
      <c r="E6" s="31">
        <f ca="1">(1/3)/MESES_NO_ANO*100</f>
        <v>2.78</v>
      </c>
      <c r="F6" s="31" t="s">
        <v>146</v>
      </c>
    </row>
    <row r="7" spans="2:7" s="74" customFormat="1">
      <c r="B7" s="182" t="s">
        <v>59</v>
      </c>
      <c r="C7" s="182"/>
      <c r="D7" s="182"/>
      <c r="E7" s="182"/>
      <c r="F7" s="182"/>
    </row>
    <row r="8" spans="2:7" s="74" customFormat="1" ht="34.5" customHeight="1">
      <c r="B8" s="1" t="s">
        <v>60</v>
      </c>
      <c r="C8" s="179" t="s">
        <v>79</v>
      </c>
      <c r="D8" s="179"/>
      <c r="E8" s="3" t="s">
        <v>1</v>
      </c>
    </row>
    <row r="9" spans="2:7">
      <c r="B9" s="1" t="s">
        <v>2</v>
      </c>
      <c r="C9" s="158" t="s">
        <v>36</v>
      </c>
      <c r="D9" s="158"/>
      <c r="E9" s="43">
        <v>20</v>
      </c>
    </row>
    <row r="10" spans="2:7" s="67" customFormat="1">
      <c r="B10" s="2" t="s">
        <v>3</v>
      </c>
      <c r="C10" s="167" t="s">
        <v>38</v>
      </c>
      <c r="D10" s="167"/>
      <c r="E10" s="36">
        <v>2.5</v>
      </c>
    </row>
    <row r="11" spans="2:7" s="67" customFormat="1">
      <c r="B11" s="2" t="s">
        <v>4</v>
      </c>
      <c r="C11" s="158" t="s">
        <v>74</v>
      </c>
      <c r="D11" s="158"/>
      <c r="E11" s="43">
        <v>3</v>
      </c>
    </row>
    <row r="12" spans="2:7" s="67" customFormat="1">
      <c r="B12" s="2" t="s">
        <v>5</v>
      </c>
      <c r="C12" s="167" t="s">
        <v>72</v>
      </c>
      <c r="D12" s="167"/>
      <c r="E12" s="31">
        <v>1.5</v>
      </c>
    </row>
    <row r="13" spans="2:7" s="67" customFormat="1">
      <c r="B13" s="2" t="s">
        <v>6</v>
      </c>
      <c r="C13" s="158" t="s">
        <v>73</v>
      </c>
      <c r="D13" s="158"/>
      <c r="E13" s="43">
        <v>1</v>
      </c>
    </row>
    <row r="14" spans="2:7" s="67" customFormat="1">
      <c r="B14" s="2" t="s">
        <v>7</v>
      </c>
      <c r="C14" s="167" t="s">
        <v>40</v>
      </c>
      <c r="D14" s="167"/>
      <c r="E14" s="36">
        <v>0.6</v>
      </c>
    </row>
    <row r="15" spans="2:7" s="67" customFormat="1">
      <c r="B15" s="2" t="s">
        <v>10</v>
      </c>
      <c r="C15" s="158" t="s">
        <v>37</v>
      </c>
      <c r="D15" s="158"/>
      <c r="E15" s="43">
        <v>0.2</v>
      </c>
    </row>
    <row r="16" spans="2:7">
      <c r="B16" s="2" t="s">
        <v>11</v>
      </c>
      <c r="C16" s="167" t="s">
        <v>39</v>
      </c>
      <c r="D16" s="167"/>
      <c r="E16" s="36">
        <v>8</v>
      </c>
    </row>
    <row r="17" spans="2:6">
      <c r="B17" s="178" t="s">
        <v>41</v>
      </c>
      <c r="C17" s="178"/>
      <c r="D17" s="178"/>
      <c r="E17" s="32">
        <f>SUM(E9:E16)</f>
        <v>36.799999999999997</v>
      </c>
    </row>
    <row r="18" spans="2:6" s="74" customFormat="1">
      <c r="B18" s="38" t="s">
        <v>63</v>
      </c>
      <c r="C18" s="6"/>
      <c r="D18" s="15"/>
      <c r="E18" s="13"/>
    </row>
    <row r="19" spans="2:6" s="74" customFormat="1" ht="15" customHeight="1">
      <c r="B19" s="1">
        <v>3</v>
      </c>
      <c r="C19" s="178" t="s">
        <v>43</v>
      </c>
      <c r="D19" s="178"/>
      <c r="E19" s="3" t="s">
        <v>1</v>
      </c>
      <c r="F19" s="3" t="s">
        <v>144</v>
      </c>
    </row>
    <row r="20" spans="2:6" s="74" customFormat="1">
      <c r="B20" s="1" t="s">
        <v>2</v>
      </c>
      <c r="C20" s="180" t="s">
        <v>44</v>
      </c>
      <c r="D20" s="180"/>
      <c r="E20" s="43">
        <f ca="1">PERC_EMPREG_DEMIT_SEM_JUSTA_CAUSA_TOTAL_DESLIG%*PERC_EMPREG_AVISO_PREVIO_IND%*1/MESES_NO_ANO*100</f>
        <v>0.28999999999999998</v>
      </c>
      <c r="F20" s="43" t="s">
        <v>147</v>
      </c>
    </row>
    <row r="21" spans="2:6" s="74" customFormat="1">
      <c r="B21" s="2" t="s">
        <v>3</v>
      </c>
      <c r="C21" s="183" t="s">
        <v>45</v>
      </c>
      <c r="D21" s="183"/>
      <c r="E21" s="36">
        <f ca="1">PERC_EMPREG_DEMIT_SEM_JUSTA_CAUSA_TOTAL_DESLIG%*PERC_EMPREG_AVISO_PREVIO_TRAB%*(DIAS_NA_SEMANA/DIAS_NO_MES)/MESES_NO_ANO*100</f>
        <v>1.1599999999999999</v>
      </c>
      <c r="F21" s="31" t="s">
        <v>151</v>
      </c>
    </row>
    <row r="22" spans="2:6" s="67" customFormat="1" ht="16.5" customHeight="1">
      <c r="B22" s="2" t="s">
        <v>4</v>
      </c>
      <c r="C22" s="180" t="s">
        <v>162</v>
      </c>
      <c r="D22" s="180"/>
      <c r="E22" s="43">
        <f ca="1">ROUNDUP(PERC_AVISO_PREVIO_TRAB%*(PERC_MULTA_FGTS%)*PERC_FGTS%*100,2)</f>
        <v>0.04</v>
      </c>
      <c r="F22" s="43" t="s">
        <v>161</v>
      </c>
    </row>
    <row r="23" spans="2:6" s="67" customFormat="1" ht="15.95" customHeight="1">
      <c r="B23" s="38" t="s">
        <v>64</v>
      </c>
      <c r="C23" s="6"/>
      <c r="D23" s="15"/>
      <c r="E23" s="7"/>
    </row>
    <row r="24" spans="2:6" s="67" customFormat="1" ht="15.95" customHeight="1">
      <c r="B24" s="38" t="s">
        <v>85</v>
      </c>
      <c r="C24" s="6"/>
      <c r="D24" s="15"/>
      <c r="E24" s="13"/>
    </row>
    <row r="25" spans="2:6" s="67" customFormat="1">
      <c r="B25" s="1" t="s">
        <v>19</v>
      </c>
      <c r="C25" s="181" t="s">
        <v>86</v>
      </c>
      <c r="D25" s="181"/>
      <c r="E25" s="3" t="s">
        <v>1</v>
      </c>
      <c r="F25" s="3" t="s">
        <v>144</v>
      </c>
    </row>
    <row r="26" spans="2:6" s="67" customFormat="1" ht="15.95" customHeight="1">
      <c r="B26" s="2" t="s">
        <v>2</v>
      </c>
      <c r="C26" s="158" t="s">
        <v>87</v>
      </c>
      <c r="D26" s="158"/>
      <c r="E26" s="43">
        <f ca="1">(1/MESES_NO_ANO)*100</f>
        <v>8.33</v>
      </c>
      <c r="F26" s="43" t="s">
        <v>148</v>
      </c>
    </row>
    <row r="27" spans="2:6" s="67" customFormat="1" ht="15.95" customHeight="1">
      <c r="B27" s="2" t="s">
        <v>3</v>
      </c>
      <c r="C27" s="64" t="s">
        <v>88</v>
      </c>
      <c r="D27" s="64"/>
      <c r="E27" s="36">
        <f ca="1">(DIAS_AUSENCIAS_LEGAIS/DIAS_NO_MES)/MESES_NO_ANO*100</f>
        <v>2.2200000000000002</v>
      </c>
      <c r="F27" s="31" t="s">
        <v>149</v>
      </c>
    </row>
    <row r="28" spans="2:6" s="67" customFormat="1" ht="15.95" customHeight="1">
      <c r="B28" s="2" t="s">
        <v>4</v>
      </c>
      <c r="C28" s="158" t="s">
        <v>89</v>
      </c>
      <c r="D28" s="158"/>
      <c r="E28" s="43">
        <f ca="1">(((DIAS_LICENCA_PATERNIDADE/DIAS_NO_MES)/MESES_NO_ANO)*PERC_NASCIDOS_VIVOS_POPUL_FEM%*PERC_PARTIC_MASC_VIGIL%)*100</f>
        <v>0.04</v>
      </c>
      <c r="F28" s="43" t="s">
        <v>154</v>
      </c>
    </row>
    <row r="29" spans="2:6" s="67" customFormat="1">
      <c r="B29" s="2" t="s">
        <v>5</v>
      </c>
      <c r="C29" s="167" t="s">
        <v>90</v>
      </c>
      <c r="D29" s="167"/>
      <c r="E29" s="36">
        <f ca="1">(DIAS_PAGOS_EMPRESA_ACID_TRAB/DIAS_NO_MES)/MESES_NO_ANO*PERC_EMPREG_AFAST_TRAB%*100</f>
        <v>0.02</v>
      </c>
      <c r="F29" s="31" t="s">
        <v>150</v>
      </c>
    </row>
    <row r="30" spans="2:6" s="67" customFormat="1" ht="33">
      <c r="B30" s="2" t="s">
        <v>6</v>
      </c>
      <c r="C30" s="158" t="s">
        <v>91</v>
      </c>
      <c r="D30" s="158"/>
      <c r="E30" s="43">
        <f ca="1">(((DIAS_LICENCA_MATERNIDADE/DIAS_NO_MES)/MESES_NO_ANO)*PERC_NASCIDOS_VIVOS_POPUL_FEM%*PERC_PARTIC_FEM_VIGIL%*PERC_GPS_FGTS%*100)</f>
        <v>0.14000000000000001</v>
      </c>
      <c r="F30" s="43" t="s">
        <v>155</v>
      </c>
    </row>
    <row r="31" spans="2:6" s="67" customFormat="1">
      <c r="B31" s="2" t="s">
        <v>7</v>
      </c>
      <c r="C31" s="167" t="str">
        <f ca="1">OUTRAS_AUSENCIAS_DESCRICAO</f>
        <v>Outras Ausências (Especificar - em %)</v>
      </c>
      <c r="D31" s="167"/>
      <c r="E31" s="36">
        <f ca="1">PERC_SUBSTITUTO_OUTRAS_AUSENCIAS</f>
        <v>0</v>
      </c>
      <c r="F31" s="31"/>
    </row>
    <row r="33" spans="2:7" ht="20.25">
      <c r="B33" s="26" t="s">
        <v>135</v>
      </c>
    </row>
    <row r="34" spans="2:7" ht="42.75" customHeight="1">
      <c r="B34" s="159" t="s">
        <v>156</v>
      </c>
      <c r="C34" s="159"/>
      <c r="D34" s="159"/>
      <c r="E34" s="159"/>
      <c r="G34" s="84"/>
    </row>
  </sheetData>
  <mergeCells count="25">
    <mergeCell ref="C25:D25"/>
    <mergeCell ref="C26:D26"/>
    <mergeCell ref="C4:D4"/>
    <mergeCell ref="C5:D5"/>
    <mergeCell ref="C6:D6"/>
    <mergeCell ref="C10:D10"/>
    <mergeCell ref="C11:D11"/>
    <mergeCell ref="B7:F7"/>
    <mergeCell ref="C21:D21"/>
    <mergeCell ref="C8:D8"/>
    <mergeCell ref="C9:D9"/>
    <mergeCell ref="C12:D12"/>
    <mergeCell ref="C13:D13"/>
    <mergeCell ref="C14:D14"/>
    <mergeCell ref="C15:D15"/>
    <mergeCell ref="C30:D30"/>
    <mergeCell ref="C16:D16"/>
    <mergeCell ref="B17:D17"/>
    <mergeCell ref="C28:D28"/>
    <mergeCell ref="C29:D29"/>
    <mergeCell ref="B34:E34"/>
    <mergeCell ref="C31:D31"/>
    <mergeCell ref="C19:D19"/>
    <mergeCell ref="C20:D20"/>
    <mergeCell ref="C22:D22"/>
  </mergeCells>
  <phoneticPr fontId="0" type="noConversion"/>
  <dataValidations count="2">
    <dataValidation type="decimal" allowBlank="1" showInputMessage="1" showErrorMessage="1" errorTitle="Erro na inserção de dados." error="O percentual do Aviso Prévio Indenizado deverá ser inferior a 0,64%, conforme determinou o Tribunal de Contas da União por meio do Acórdão nº 1.904/2007 - Plenário." sqref="E20">
      <formula1>0</formula1>
      <formula2>0.46</formula2>
    </dataValidation>
    <dataValidation type="decimal" allowBlank="1" showInputMessage="1" showErrorMessage="1" errorTitle="Erro na inserção de dados." error="O percentual do Aviso Prévio Indenizado deverá ser inferior a 1,94%, conforme determinou o Tribunal de Contas da União por meio do Acórdão nº 1.904/2007 - Plenário." sqref="E21">
      <formula1>0</formula1>
      <formula2>1.94</formula2>
    </dataValidation>
  </dataValidations>
  <pageMargins left="0.18" right="0.17" top="0.1" bottom="0.03" header="0.14000000000000001" footer="0.04"/>
  <pageSetup paperSize="9" scale="95" orientation="landscape" r:id="rId1"/>
  <ignoredErrors>
    <ignoredError sqref="E3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B1:H96"/>
  <sheetViews>
    <sheetView view="pageBreakPreview" topLeftCell="A61" zoomScaleNormal="100" zoomScaleSheetLayoutView="100" workbookViewId="0">
      <selection activeCell="F70" sqref="F70"/>
    </sheetView>
  </sheetViews>
  <sheetFormatPr defaultRowHeight="16.5"/>
  <cols>
    <col min="1" max="1" width="2.7109375" style="7" customWidth="1"/>
    <col min="2" max="2" width="8.85546875" style="7" customWidth="1"/>
    <col min="3" max="3" width="52.5703125" style="12" customWidth="1"/>
    <col min="4" max="4" width="7.85546875" style="12" customWidth="1"/>
    <col min="5" max="5" width="13.5703125" style="12" customWidth="1"/>
    <col min="6" max="6" width="15.42578125" style="12" bestFit="1" customWidth="1"/>
    <col min="7" max="16384" width="9.140625" style="7"/>
  </cols>
  <sheetData>
    <row r="1" spans="2:6" ht="20.25">
      <c r="B1" s="203" t="str">
        <f ca="1">RAMO</f>
        <v>RAMO:</v>
      </c>
      <c r="C1" s="204"/>
      <c r="D1" s="204"/>
      <c r="E1" s="204"/>
      <c r="F1" s="205"/>
    </row>
    <row r="2" spans="2:6" ht="20.25">
      <c r="B2" s="206" t="str">
        <f ca="1">UG</f>
        <v>UNIDADE GESTORA (SIGLA):</v>
      </c>
      <c r="C2" s="207"/>
      <c r="D2" s="208"/>
      <c r="E2" s="65" t="s">
        <v>49</v>
      </c>
      <c r="F2" s="66" t="str">
        <f ca="1">DATA_DO_ORCAMENTO_ESTIMATIVO</f>
        <v>XX/XX/20XX</v>
      </c>
    </row>
    <row r="3" spans="2:6" s="67" customFormat="1" ht="25.5">
      <c r="B3" s="141" t="s">
        <v>139</v>
      </c>
      <c r="C3" s="141"/>
      <c r="D3" s="141"/>
      <c r="E3" s="141"/>
      <c r="F3" s="141"/>
    </row>
    <row r="4" spans="2:6" s="67" customFormat="1" ht="15.95" customHeight="1">
      <c r="B4" s="131" t="s">
        <v>80</v>
      </c>
      <c r="C4" s="131"/>
      <c r="D4" s="131"/>
      <c r="E4" s="131"/>
      <c r="F4" s="131"/>
    </row>
    <row r="5" spans="2:6" s="67" customFormat="1" ht="15.95" customHeight="1">
      <c r="B5" s="127" t="s">
        <v>157</v>
      </c>
      <c r="C5" s="127"/>
      <c r="D5" s="201" t="str">
        <f ca="1">NUMERO_PROCESSO</f>
        <v>X.XX.XXX.XXXXXX/20XX-XX</v>
      </c>
      <c r="E5" s="201"/>
      <c r="F5" s="201"/>
    </row>
    <row r="6" spans="2:6" s="67" customFormat="1" ht="15.75" customHeight="1">
      <c r="B6" s="132" t="s">
        <v>158</v>
      </c>
      <c r="C6" s="132"/>
      <c r="D6" s="202" t="str">
        <f ca="1">MODALIDADE_DE_LICITACAO</f>
        <v>Pregão nº</v>
      </c>
      <c r="E6" s="202"/>
      <c r="F6" s="90" t="str">
        <f ca="1">NUMERO_PREGAO</f>
        <v>XX/20XX</v>
      </c>
    </row>
    <row r="7" spans="2:6" s="67" customFormat="1" ht="15.75" customHeight="1">
      <c r="B7" s="199" t="s">
        <v>50</v>
      </c>
      <c r="C7" s="199"/>
      <c r="D7" s="199"/>
      <c r="E7" s="199"/>
      <c r="F7" s="199"/>
    </row>
    <row r="8" spans="2:6" s="67" customFormat="1" ht="18" customHeight="1">
      <c r="B8" s="18" t="s">
        <v>2</v>
      </c>
      <c r="C8" s="127" t="s">
        <v>55</v>
      </c>
      <c r="D8" s="127"/>
      <c r="E8" s="127"/>
      <c r="F8" s="68" t="str">
        <f ca="1">DATA_APRESENTACAO_PROPOSTA</f>
        <v>XX/XX/20XX</v>
      </c>
    </row>
    <row r="9" spans="2:6" s="67" customFormat="1" ht="15.95" customHeight="1">
      <c r="B9" s="1" t="s">
        <v>3</v>
      </c>
      <c r="C9" s="50" t="s">
        <v>31</v>
      </c>
      <c r="D9" s="195" t="str">
        <f ca="1">IF(LOCAL_DE_EXECUCAO="","",LOCAL_DE_EXECUCAO)</f>
        <v/>
      </c>
      <c r="E9" s="195"/>
      <c r="F9" s="195"/>
    </row>
    <row r="10" spans="2:6" s="67" customFormat="1" ht="18.75" customHeight="1">
      <c r="B10" s="18" t="s">
        <v>4</v>
      </c>
      <c r="C10" s="127" t="s">
        <v>32</v>
      </c>
      <c r="D10" s="127"/>
      <c r="E10" s="127"/>
      <c r="F10" s="69" t="str">
        <f ca="1">ACORDO_COLETIVO</f>
        <v>XX/20XX</v>
      </c>
    </row>
    <row r="11" spans="2:6" s="67" customFormat="1" ht="15.95" customHeight="1">
      <c r="B11" s="1" t="s">
        <v>5</v>
      </c>
      <c r="C11" s="195" t="s">
        <v>56</v>
      </c>
      <c r="D11" s="195"/>
      <c r="E11" s="195"/>
      <c r="F11" s="23">
        <f ca="1">NUMERO_MESES_EXEC_CONTRATUAL</f>
        <v>12</v>
      </c>
    </row>
    <row r="12" spans="2:6" s="67" customFormat="1">
      <c r="B12" s="1" t="s">
        <v>6</v>
      </c>
      <c r="C12" s="196" t="s">
        <v>71</v>
      </c>
      <c r="D12" s="196"/>
      <c r="E12" s="196"/>
      <c r="F12" s="48">
        <f ca="1">IF(QTDE_POSTOS="","",QTDE_POSTOS)</f>
        <v>1</v>
      </c>
    </row>
    <row r="13" spans="2:6" s="72" customFormat="1" ht="15" customHeight="1">
      <c r="B13" s="70" t="s">
        <v>136</v>
      </c>
      <c r="C13" s="71"/>
      <c r="D13" s="71"/>
      <c r="E13" s="71"/>
      <c r="F13" s="71"/>
    </row>
    <row r="14" spans="2:6" s="67" customFormat="1">
      <c r="B14" s="18">
        <v>1</v>
      </c>
      <c r="C14" s="145" t="s">
        <v>52</v>
      </c>
      <c r="D14" s="145"/>
      <c r="E14" s="197" t="str">
        <f ca="1">IF(TIPO_DE_SERVICO="","",TIPO_DE_SERVICO)</f>
        <v>Encarregado 44h</v>
      </c>
      <c r="F14" s="197"/>
    </row>
    <row r="15" spans="2:6" s="67" customFormat="1">
      <c r="B15" s="18">
        <v>2</v>
      </c>
      <c r="C15" s="20" t="s">
        <v>51</v>
      </c>
      <c r="D15" s="198" t="str">
        <f ca="1">IF(CBO="","",CBO)</f>
        <v/>
      </c>
      <c r="E15" s="198"/>
      <c r="F15" s="198"/>
    </row>
    <row r="16" spans="2:6" s="67" customFormat="1" ht="15" customHeight="1">
      <c r="B16" s="18">
        <v>3</v>
      </c>
      <c r="C16" s="86" t="s">
        <v>53</v>
      </c>
      <c r="D16" s="197" t="str">
        <f ca="1">IF(CATEGORIA_PROFISSIONAL="","",CATEGORIA_PROFISSIONAL)</f>
        <v/>
      </c>
      <c r="E16" s="197"/>
      <c r="F16" s="197"/>
    </row>
    <row r="17" spans="2:8" s="67" customFormat="1" ht="15" customHeight="1">
      <c r="B17" s="18">
        <v>4</v>
      </c>
      <c r="C17" s="144" t="s">
        <v>54</v>
      </c>
      <c r="D17" s="144"/>
      <c r="E17" s="144"/>
      <c r="F17" s="87" t="str">
        <f ca="1">DATA_BASE_CATEGORIA</f>
        <v>XX/XX/20XX</v>
      </c>
    </row>
    <row r="18" spans="2:8" s="73" customFormat="1" ht="20.25" customHeight="1">
      <c r="B18" s="200" t="s">
        <v>35</v>
      </c>
      <c r="C18" s="200"/>
      <c r="D18" s="200"/>
      <c r="E18" s="200"/>
      <c r="F18" s="200"/>
    </row>
    <row r="19" spans="2:8">
      <c r="B19" s="178" t="s">
        <v>47</v>
      </c>
      <c r="C19" s="178"/>
      <c r="D19" s="178"/>
      <c r="E19" s="178"/>
      <c r="F19" s="78">
        <f ca="1">IF(EMPREG_POR_POSTO="","",EMPREG_POR_POSTO)</f>
        <v>1</v>
      </c>
    </row>
    <row r="20" spans="2:8">
      <c r="B20" s="38" t="s">
        <v>8</v>
      </c>
      <c r="E20" s="8"/>
      <c r="F20" s="8"/>
    </row>
    <row r="21" spans="2:8">
      <c r="B21" s="1">
        <v>1</v>
      </c>
      <c r="C21" s="164" t="s">
        <v>9</v>
      </c>
      <c r="D21" s="164"/>
      <c r="E21" s="164"/>
      <c r="F21" s="3" t="s">
        <v>13</v>
      </c>
    </row>
    <row r="22" spans="2:8">
      <c r="B22" s="1" t="s">
        <v>2</v>
      </c>
      <c r="C22" s="148" t="s">
        <v>76</v>
      </c>
      <c r="D22" s="148"/>
      <c r="E22" s="148"/>
      <c r="F22" s="41">
        <f ca="1">SALARIO_BASE</f>
        <v>0</v>
      </c>
    </row>
    <row r="23" spans="2:8">
      <c r="B23" s="1" t="s">
        <v>3</v>
      </c>
      <c r="C23" s="192" t="str">
        <f ca="1">OUTROS_REMUNERACAO_1_DESCRICAO</f>
        <v>Outras Remunerações 1 (Especificar)-Encarregado 44h</v>
      </c>
      <c r="D23" s="193"/>
      <c r="E23" s="194"/>
      <c r="F23" s="4">
        <f ca="1">OUTROS_REMUNERACAO_1</f>
        <v>0</v>
      </c>
    </row>
    <row r="24" spans="2:8">
      <c r="B24" s="186" t="s">
        <v>41</v>
      </c>
      <c r="C24" s="186"/>
      <c r="D24" s="186"/>
      <c r="E24" s="186"/>
      <c r="F24" s="33">
        <f>SUM(F22:F23)</f>
        <v>0</v>
      </c>
    </row>
    <row r="25" spans="2:8">
      <c r="B25" s="38" t="s">
        <v>57</v>
      </c>
      <c r="E25" s="14"/>
      <c r="F25" s="14"/>
    </row>
    <row r="26" spans="2:8">
      <c r="B26" s="38" t="s">
        <v>92</v>
      </c>
      <c r="C26" s="6"/>
      <c r="D26" s="15"/>
      <c r="E26" s="13"/>
      <c r="F26" s="13"/>
    </row>
    <row r="27" spans="2:8">
      <c r="B27" s="1" t="s">
        <v>58</v>
      </c>
      <c r="C27" s="178" t="s">
        <v>77</v>
      </c>
      <c r="D27" s="178"/>
      <c r="E27" s="3" t="s">
        <v>1</v>
      </c>
      <c r="F27" s="3" t="s">
        <v>13</v>
      </c>
    </row>
    <row r="28" spans="2:8">
      <c r="B28" s="1" t="s">
        <v>2</v>
      </c>
      <c r="C28" s="158" t="s">
        <v>42</v>
      </c>
      <c r="D28" s="158"/>
      <c r="E28" s="43">
        <f ca="1">PERC_DEC_TERC</f>
        <v>8.33</v>
      </c>
      <c r="F28" s="42">
        <f ca="1">PERC_DEC_TERC%*MOD_1_REMUNERACAO</f>
        <v>0</v>
      </c>
      <c r="H28" s="124"/>
    </row>
    <row r="29" spans="2:8">
      <c r="B29" s="2" t="s">
        <v>3</v>
      </c>
      <c r="C29" s="167" t="s">
        <v>78</v>
      </c>
      <c r="D29" s="167"/>
      <c r="E29" s="31">
        <f ca="1">PERC_ADIC_FERIAS</f>
        <v>2.78</v>
      </c>
      <c r="F29" s="29">
        <f ca="1">PERC_ADIC_FERIAS%*MOD_1_REMUNERACAO</f>
        <v>0</v>
      </c>
    </row>
    <row r="30" spans="2:8" s="74" customFormat="1">
      <c r="B30" s="161" t="s">
        <v>41</v>
      </c>
      <c r="C30" s="162"/>
      <c r="D30" s="162"/>
      <c r="E30" s="163"/>
      <c r="F30" s="34">
        <f>SUM(F28:F29)</f>
        <v>0</v>
      </c>
    </row>
    <row r="31" spans="2:8" s="74" customFormat="1" ht="31.5" customHeight="1">
      <c r="B31" s="191" t="s">
        <v>59</v>
      </c>
      <c r="C31" s="191"/>
      <c r="D31" s="191"/>
      <c r="E31" s="191"/>
      <c r="F31" s="191"/>
    </row>
    <row r="32" spans="2:8" s="74" customFormat="1" ht="34.5" customHeight="1">
      <c r="B32" s="1" t="s">
        <v>60</v>
      </c>
      <c r="C32" s="179" t="s">
        <v>79</v>
      </c>
      <c r="D32" s="179"/>
      <c r="E32" s="3" t="s">
        <v>1</v>
      </c>
      <c r="F32" s="3" t="s">
        <v>13</v>
      </c>
    </row>
    <row r="33" spans="2:6">
      <c r="B33" s="1" t="s">
        <v>2</v>
      </c>
      <c r="C33" s="158" t="s">
        <v>36</v>
      </c>
      <c r="D33" s="158"/>
      <c r="E33" s="43">
        <f ca="1">PERC_INSS</f>
        <v>20</v>
      </c>
      <c r="F33" s="42">
        <f ca="1">PERC_INSS%*(MOD_1_REMUNERACAO+SUBMOD_2_1_DEC_TERC_ADIC_FERIAS)</f>
        <v>0</v>
      </c>
    </row>
    <row r="34" spans="2:6" s="67" customFormat="1">
      <c r="B34" s="2" t="s">
        <v>3</v>
      </c>
      <c r="C34" s="167" t="s">
        <v>38</v>
      </c>
      <c r="D34" s="167"/>
      <c r="E34" s="36">
        <f ca="1">PERC_SAL_EDUCACAO</f>
        <v>2.5</v>
      </c>
      <c r="F34" s="29">
        <f ca="1">PERC_SAL_EDUCACAO%*(MOD_1_REMUNERACAO+SUBMOD_2_1_DEC_TERC_ADIC_FERIAS)</f>
        <v>0</v>
      </c>
    </row>
    <row r="35" spans="2:6" s="67" customFormat="1">
      <c r="B35" s="2" t="s">
        <v>4</v>
      </c>
      <c r="C35" s="158" t="s">
        <v>74</v>
      </c>
      <c r="D35" s="158"/>
      <c r="E35" s="43">
        <f ca="1">PERC_RAT</f>
        <v>3</v>
      </c>
      <c r="F35" s="42">
        <f ca="1">PERC_RAT%*(MOD_1_REMUNERACAO+SUBMOD_2_1_DEC_TERC_ADIC_FERIAS)</f>
        <v>0</v>
      </c>
    </row>
    <row r="36" spans="2:6" s="67" customFormat="1">
      <c r="B36" s="2" t="s">
        <v>5</v>
      </c>
      <c r="C36" s="167" t="s">
        <v>72</v>
      </c>
      <c r="D36" s="167"/>
      <c r="E36" s="31">
        <f ca="1">PERC_SESC</f>
        <v>1.5</v>
      </c>
      <c r="F36" s="29">
        <f ca="1">PERC_SESC%*(MOD_1_REMUNERACAO+SUBMOD_2_1_DEC_TERC_ADIC_FERIAS)</f>
        <v>0</v>
      </c>
    </row>
    <row r="37" spans="2:6" s="67" customFormat="1">
      <c r="B37" s="2" t="s">
        <v>6</v>
      </c>
      <c r="C37" s="158" t="s">
        <v>73</v>
      </c>
      <c r="D37" s="158"/>
      <c r="E37" s="43">
        <f ca="1">PERC_SENAC</f>
        <v>1</v>
      </c>
      <c r="F37" s="42">
        <f ca="1">PERC_SENAC%*(MOD_1_REMUNERACAO+SUBMOD_2_1_DEC_TERC_ADIC_FERIAS)</f>
        <v>0</v>
      </c>
    </row>
    <row r="38" spans="2:6" s="67" customFormat="1">
      <c r="B38" s="2" t="s">
        <v>7</v>
      </c>
      <c r="C38" s="167" t="s">
        <v>40</v>
      </c>
      <c r="D38" s="167"/>
      <c r="E38" s="36">
        <f ca="1">PERC_SEBRAE</f>
        <v>0.6</v>
      </c>
      <c r="F38" s="29">
        <f ca="1">PERC_SEBRAE%*(MOD_1_REMUNERACAO+SUBMOD_2_1_DEC_TERC_ADIC_FERIAS)</f>
        <v>0</v>
      </c>
    </row>
    <row r="39" spans="2:6" s="67" customFormat="1">
      <c r="B39" s="2" t="s">
        <v>10</v>
      </c>
      <c r="C39" s="158" t="s">
        <v>37</v>
      </c>
      <c r="D39" s="158"/>
      <c r="E39" s="43">
        <f ca="1">PERC_INCRA</f>
        <v>0.2</v>
      </c>
      <c r="F39" s="42">
        <f ca="1">PERC_INCRA%*(MOD_1_REMUNERACAO+SUBMOD_2_1_DEC_TERC_ADIC_FERIAS)</f>
        <v>0</v>
      </c>
    </row>
    <row r="40" spans="2:6">
      <c r="B40" s="2" t="s">
        <v>11</v>
      </c>
      <c r="C40" s="167" t="s">
        <v>39</v>
      </c>
      <c r="D40" s="167"/>
      <c r="E40" s="36">
        <f ca="1">PERC_FGTS</f>
        <v>8</v>
      </c>
      <c r="F40" s="29">
        <f ca="1">PERC_FGTS%*(MOD_1_REMUNERACAO+SUBMOD_2_1_DEC_TERC_ADIC_FERIAS)</f>
        <v>0</v>
      </c>
    </row>
    <row r="41" spans="2:6">
      <c r="B41" s="161" t="s">
        <v>41</v>
      </c>
      <c r="C41" s="162"/>
      <c r="D41" s="162"/>
      <c r="E41" s="163"/>
      <c r="F41" s="35">
        <f>SUM(F33:F40)</f>
        <v>0</v>
      </c>
    </row>
    <row r="42" spans="2:6" ht="15.75" customHeight="1">
      <c r="B42" s="38" t="s">
        <v>62</v>
      </c>
      <c r="C42" s="67"/>
      <c r="D42" s="67"/>
      <c r="E42" s="67"/>
      <c r="F42" s="67"/>
    </row>
    <row r="43" spans="2:6" ht="15.75" customHeight="1">
      <c r="B43" s="1" t="s">
        <v>75</v>
      </c>
      <c r="C43" s="164" t="s">
        <v>14</v>
      </c>
      <c r="D43" s="164"/>
      <c r="E43" s="164"/>
      <c r="F43" s="3" t="s">
        <v>13</v>
      </c>
    </row>
    <row r="44" spans="2:6">
      <c r="B44" s="18" t="s">
        <v>2</v>
      </c>
      <c r="C44" s="158" t="s">
        <v>15</v>
      </c>
      <c r="D44" s="158"/>
      <c r="E44" s="158"/>
      <c r="F44" s="42">
        <f ca="1">IF(((TRANSPORTE_POR_DIA*DIAS_TRABALHADOS_NO_MES)-(PERC_DESC_TRANSP_REMUNERACAO%*(AL_1_A_SAL_BASE)))&gt;0,((TRANSPORTE_POR_DIA*DIAS_TRABALHADOS_NO_MES)-(PERC_DESC_TRANSP_REMUNERACAO%*(AL_1_A_SAL_BASE))),0)</f>
        <v>0</v>
      </c>
    </row>
    <row r="45" spans="2:6" s="74" customFormat="1">
      <c r="B45" s="18" t="s">
        <v>3</v>
      </c>
      <c r="C45" s="167" t="s">
        <v>61</v>
      </c>
      <c r="D45" s="167"/>
      <c r="E45" s="167"/>
      <c r="F45" s="29">
        <f ca="1">ALIMENTACAO_POR_DIA*DIAS_TRABALHADOS_NO_MES</f>
        <v>0</v>
      </c>
    </row>
    <row r="46" spans="2:6" s="74" customFormat="1">
      <c r="B46" s="18" t="s">
        <v>4</v>
      </c>
      <c r="C46" s="188" t="str">
        <f ca="1">OUTROS_BENEFICIOS_1_DESCRICAO</f>
        <v>Outros Benefícios 1 (Especificar)</v>
      </c>
      <c r="D46" s="189"/>
      <c r="E46" s="190"/>
      <c r="F46" s="42">
        <f ca="1">OUTROS_BENEFICIOS_1</f>
        <v>0</v>
      </c>
    </row>
    <row r="47" spans="2:6" s="74" customFormat="1" ht="15" customHeight="1">
      <c r="B47" s="186" t="s">
        <v>41</v>
      </c>
      <c r="C47" s="186"/>
      <c r="D47" s="186"/>
      <c r="E47" s="186"/>
      <c r="F47" s="33">
        <f>SUM(F44:F46)</f>
        <v>0</v>
      </c>
    </row>
    <row r="48" spans="2:6" s="74" customFormat="1">
      <c r="B48" s="38" t="s">
        <v>63</v>
      </c>
      <c r="C48" s="6"/>
      <c r="D48" s="15"/>
      <c r="E48" s="13"/>
      <c r="F48" s="13"/>
    </row>
    <row r="49" spans="2:6" s="74" customFormat="1" ht="15" customHeight="1">
      <c r="B49" s="1">
        <v>3</v>
      </c>
      <c r="C49" s="178" t="s">
        <v>43</v>
      </c>
      <c r="D49" s="178"/>
      <c r="E49" s="3" t="s">
        <v>1</v>
      </c>
      <c r="F49" s="3" t="s">
        <v>13</v>
      </c>
    </row>
    <row r="50" spans="2:6" s="74" customFormat="1">
      <c r="B50" s="1" t="s">
        <v>2</v>
      </c>
      <c r="C50" s="180" t="s">
        <v>44</v>
      </c>
      <c r="D50" s="180"/>
      <c r="E50" s="43">
        <f ca="1">PERC_AVISO_PREVIO_IND</f>
        <v>0.28999999999999998</v>
      </c>
      <c r="F50" s="42">
        <f ca="1">PERC_AVISO_PREVIO_IND%*(MOD_1_REMUNERACAO+SUBMOD_2_1_DEC_TERC_ADIC_FERIAS+AL_2_2_FGTS+SUBMOD_2_3_BENEFICIOS)</f>
        <v>0</v>
      </c>
    </row>
    <row r="51" spans="2:6" s="74" customFormat="1">
      <c r="B51" s="2" t="s">
        <v>3</v>
      </c>
      <c r="C51" s="183" t="s">
        <v>45</v>
      </c>
      <c r="D51" s="183"/>
      <c r="E51" s="36">
        <f ca="1">PERC_AVISO_PREVIO_TRAB</f>
        <v>1.1599999999999999</v>
      </c>
      <c r="F51" s="29">
        <f ca="1">PERC_AVISO_PREVIO_TRAB%*(MOD_1_REMUNERACAO+SUBMOD_2_1_DEC_TERC_ADIC_FERIAS+SUBMOD_2_2_GPS_FGTS+SUBMOD_2_3_BENEFICIOS)</f>
        <v>0</v>
      </c>
    </row>
    <row r="52" spans="2:6" s="67" customFormat="1">
      <c r="B52" s="2" t="s">
        <v>4</v>
      </c>
      <c r="C52" s="180" t="s">
        <v>162</v>
      </c>
      <c r="D52" s="180"/>
      <c r="E52" s="43">
        <f ca="1">PERC_MULTA_FGTS_AV_PREV_TRAB</f>
        <v>0.04</v>
      </c>
      <c r="F52" s="42">
        <f ca="1">PERC_MULTA_FGTS_AV_PREV_TRAB%*(MOD_1_REMUNERACAO+SUBMOD_2_1_DEC_TERC_ADIC_FERIAS)</f>
        <v>0</v>
      </c>
    </row>
    <row r="53" spans="2:6" s="67" customFormat="1">
      <c r="B53" s="161" t="s">
        <v>41</v>
      </c>
      <c r="C53" s="162"/>
      <c r="D53" s="162"/>
      <c r="E53" s="163"/>
      <c r="F53" s="34">
        <f>SUM(F50:F52)</f>
        <v>0</v>
      </c>
    </row>
    <row r="54" spans="2:6" ht="7.5" customHeight="1">
      <c r="B54" s="10"/>
      <c r="C54" s="7"/>
      <c r="D54" s="11"/>
      <c r="E54" s="8"/>
      <c r="F54" s="8"/>
    </row>
    <row r="55" spans="2:6" s="67" customFormat="1" ht="15.95" customHeight="1">
      <c r="B55" s="38" t="s">
        <v>64</v>
      </c>
      <c r="C55" s="6"/>
      <c r="D55" s="15"/>
      <c r="E55" s="7"/>
      <c r="F55" s="7"/>
    </row>
    <row r="56" spans="2:6" s="67" customFormat="1" ht="15.95" customHeight="1">
      <c r="B56" s="38" t="s">
        <v>85</v>
      </c>
      <c r="C56" s="6"/>
      <c r="D56" s="15"/>
      <c r="E56" s="13"/>
      <c r="F56" s="13"/>
    </row>
    <row r="57" spans="2:6" s="67" customFormat="1">
      <c r="B57" s="1" t="s">
        <v>19</v>
      </c>
      <c r="C57" s="181" t="s">
        <v>86</v>
      </c>
      <c r="D57" s="181"/>
      <c r="E57" s="3" t="s">
        <v>1</v>
      </c>
      <c r="F57" s="3" t="s">
        <v>13</v>
      </c>
    </row>
    <row r="58" spans="2:6" s="67" customFormat="1" ht="15.95" customHeight="1">
      <c r="B58" s="2" t="s">
        <v>2</v>
      </c>
      <c r="C58" s="158" t="s">
        <v>87</v>
      </c>
      <c r="D58" s="158"/>
      <c r="E58" s="43">
        <f ca="1">PERC_SUBSTITUTO_FERIAS</f>
        <v>8.33</v>
      </c>
      <c r="F58" s="42">
        <f ca="1">PERC_SUBSTITUTO_FERIAS%*(MOD_1_REMUNERACAO+MOD_2_ENCARGOS_BENEFICIOS+MOD_3_PROVISAO_RESCISAO)</f>
        <v>0</v>
      </c>
    </row>
    <row r="59" spans="2:6" s="67" customFormat="1" ht="15.95" customHeight="1">
      <c r="B59" s="2" t="s">
        <v>3</v>
      </c>
      <c r="C59" s="167" t="s">
        <v>88</v>
      </c>
      <c r="D59" s="167"/>
      <c r="E59" s="36">
        <f ca="1">PERC_SUBSTITUTO_AUSENCIAS_LEGAIS</f>
        <v>2.2200000000000002</v>
      </c>
      <c r="F59" s="29">
        <f ca="1">PERC_SUBSTITUTO_AUSENCIAS_LEGAIS%*(MOD_1_REMUNERACAO+MOD_2_ENCARGOS_BENEFICIOS+MOD_3_PROVISAO_RESCISAO)</f>
        <v>0</v>
      </c>
    </row>
    <row r="60" spans="2:6" s="67" customFormat="1" ht="15.95" customHeight="1">
      <c r="B60" s="2" t="s">
        <v>4</v>
      </c>
      <c r="C60" s="158" t="s">
        <v>89</v>
      </c>
      <c r="D60" s="158"/>
      <c r="E60" s="43">
        <f ca="1">PERC_SUBSTITUTO_LICENCA_PATERNIDADE</f>
        <v>0.04</v>
      </c>
      <c r="F60" s="42">
        <f ca="1">PERC_SUBSTITUTO_LICENCA_PATERNIDADE%*(MOD_1_REMUNERACAO+MOD_2_ENCARGOS_BENEFICIOS+MOD_3_PROVISAO_RESCISAO)</f>
        <v>0</v>
      </c>
    </row>
    <row r="61" spans="2:6" s="67" customFormat="1">
      <c r="B61" s="2" t="s">
        <v>5</v>
      </c>
      <c r="C61" s="167" t="s">
        <v>90</v>
      </c>
      <c r="D61" s="167"/>
      <c r="E61" s="36">
        <f ca="1">PERC_SUBSTITUTO_ACID_TRAB</f>
        <v>0.02</v>
      </c>
      <c r="F61" s="29">
        <f ca="1">PERC_SUBSTITUTO_ACID_TRAB%*(MOD_1_REMUNERACAO+MOD_2_ENCARGOS_BENEFICIOS+MOD_3_PROVISAO_RESCISAO)</f>
        <v>0</v>
      </c>
    </row>
    <row r="62" spans="2:6" s="67" customFormat="1">
      <c r="B62" s="2" t="s">
        <v>6</v>
      </c>
      <c r="C62" s="158" t="s">
        <v>91</v>
      </c>
      <c r="D62" s="158"/>
      <c r="E62" s="43">
        <f ca="1">PERC_SUBSTITUTO_AFAST_MATERN</f>
        <v>0.14000000000000001</v>
      </c>
      <c r="F62" s="42">
        <f ca="1">PERC_SUBSTITUTO_AFAST_MATERN%*(MOD_1_REMUNERACAO+MOD_2_ENCARGOS_BENEFICIOS+MOD_3_PROVISAO_RESCISAO)</f>
        <v>0</v>
      </c>
    </row>
    <row r="63" spans="2:6" s="67" customFormat="1">
      <c r="B63" s="2" t="s">
        <v>7</v>
      </c>
      <c r="C63" s="187" t="str">
        <f ca="1">OUTRAS_AUSENCIAS_DESCRICAO</f>
        <v>Outras Ausências (Especificar - em %)</v>
      </c>
      <c r="D63" s="167"/>
      <c r="E63" s="40">
        <f ca="1">PERC_SUBSTITUTO_OUTRAS_AUSENCIAS</f>
        <v>0</v>
      </c>
      <c r="F63" s="29">
        <f ca="1">PERC_SUBSTITUTO_OUTRAS_AUSENCIAS%*(MOD_1_REMUNERACAO+MOD_2_ENCARGOS_BENEFICIOS+MOD_3_PROVISAO_RESCISAO)</f>
        <v>0</v>
      </c>
    </row>
    <row r="64" spans="2:6" s="67" customFormat="1">
      <c r="B64" s="161" t="s">
        <v>41</v>
      </c>
      <c r="C64" s="162"/>
      <c r="D64" s="162"/>
      <c r="E64" s="163"/>
      <c r="F64" s="34">
        <f>SUM(F58:F63)</f>
        <v>0</v>
      </c>
    </row>
    <row r="65" spans="2:6" ht="7.5" customHeight="1">
      <c r="B65" s="10"/>
      <c r="C65" s="7"/>
      <c r="D65" s="11"/>
      <c r="E65" s="8"/>
      <c r="F65" s="8"/>
    </row>
    <row r="66" spans="2:6">
      <c r="B66" s="38" t="s">
        <v>66</v>
      </c>
      <c r="C66" s="6"/>
      <c r="D66" s="6"/>
      <c r="E66" s="13"/>
      <c r="F66" s="13"/>
    </row>
    <row r="67" spans="2:6" ht="15.75" customHeight="1">
      <c r="B67" s="1">
        <v>5</v>
      </c>
      <c r="C67" s="164" t="s">
        <v>0</v>
      </c>
      <c r="D67" s="164"/>
      <c r="E67" s="164"/>
      <c r="F67" s="3" t="s">
        <v>13</v>
      </c>
    </row>
    <row r="68" spans="2:6">
      <c r="B68" s="18" t="s">
        <v>2</v>
      </c>
      <c r="C68" s="158" t="s">
        <v>16</v>
      </c>
      <c r="D68" s="158"/>
      <c r="E68" s="158"/>
      <c r="F68" s="42">
        <f ca="1">UNIFORMES</f>
        <v>0</v>
      </c>
    </row>
    <row r="69" spans="2:6">
      <c r="B69" s="18" t="s">
        <v>3</v>
      </c>
      <c r="C69" s="167" t="s">
        <v>234</v>
      </c>
      <c r="D69" s="167"/>
      <c r="E69" s="167"/>
      <c r="F69" s="29">
        <f ca="1">OUTROS_INSUMOS</f>
        <v>0</v>
      </c>
    </row>
    <row r="70" spans="2:6">
      <c r="B70" s="18" t="s">
        <v>4</v>
      </c>
      <c r="C70" s="187" t="str">
        <f ca="1">OUTROS_INSUMOS_DESCRICAO</f>
        <v>Outros 2 (Especificar)-Encarregado 44h</v>
      </c>
      <c r="D70" s="167"/>
      <c r="E70" s="167"/>
      <c r="F70" s="29">
        <f ca="1">OUTROS_INSUMOS</f>
        <v>0</v>
      </c>
    </row>
    <row r="71" spans="2:6">
      <c r="B71" s="186" t="s">
        <v>41</v>
      </c>
      <c r="C71" s="186"/>
      <c r="D71" s="186"/>
      <c r="E71" s="186"/>
      <c r="F71" s="33">
        <f>SUM(F68:F70)</f>
        <v>0</v>
      </c>
    </row>
    <row r="72" spans="2:6" ht="7.5" customHeight="1">
      <c r="B72" s="10"/>
      <c r="C72" s="7"/>
      <c r="D72" s="11"/>
      <c r="E72" s="8"/>
      <c r="F72" s="8"/>
    </row>
    <row r="73" spans="2:6" ht="15" customHeight="1">
      <c r="B73" s="160" t="s">
        <v>65</v>
      </c>
      <c r="C73" s="160"/>
      <c r="D73" s="160"/>
      <c r="E73" s="160"/>
      <c r="F73" s="160"/>
    </row>
    <row r="74" spans="2:6">
      <c r="B74" s="1">
        <v>6</v>
      </c>
      <c r="C74" s="178" t="s">
        <v>20</v>
      </c>
      <c r="D74" s="178"/>
      <c r="E74" s="3" t="s">
        <v>1</v>
      </c>
      <c r="F74" s="3" t="s">
        <v>13</v>
      </c>
    </row>
    <row r="75" spans="2:6">
      <c r="B75" s="1" t="s">
        <v>2</v>
      </c>
      <c r="C75" s="158" t="s">
        <v>67</v>
      </c>
      <c r="D75" s="158"/>
      <c r="E75" s="44">
        <f ca="1">PERC_CUSTOS_INDIRETOS</f>
        <v>0</v>
      </c>
      <c r="F75" s="42">
        <f ca="1">PERC_CUSTOS_INDIRETOS%*(MOD_1_REMUNERACAO+MOD_2_ENCARGOS_BENEFICIOS+MOD_3_PROVISAO_RESCISAO+SUBMOD_4_1_SUBSTITUTO+MOD_5_INSUMOS)</f>
        <v>0</v>
      </c>
    </row>
    <row r="76" spans="2:6" ht="15.75" customHeight="1">
      <c r="B76" s="2" t="s">
        <v>3</v>
      </c>
      <c r="C76" s="167" t="s">
        <v>27</v>
      </c>
      <c r="D76" s="167"/>
      <c r="E76" s="37">
        <f ca="1">PERC_LUCRO</f>
        <v>0</v>
      </c>
      <c r="F76" s="29">
        <f ca="1">PERC_LUCRO%*(MOD_1_REMUNERACAO+MOD_2_ENCARGOS_BENEFICIOS+MOD_3_PROVISAO_RESCISAO+SUBMOD_4_1_SUBSTITUTO+MOD_5_INSUMOS+AL_6_A_CUSTOS_INDIRETOS)</f>
        <v>0</v>
      </c>
    </row>
    <row r="77" spans="2:6">
      <c r="B77" s="2" t="s">
        <v>4</v>
      </c>
      <c r="C77" s="158" t="s">
        <v>21</v>
      </c>
      <c r="D77" s="158"/>
      <c r="E77" s="44">
        <f>SUM(E78:E80)</f>
        <v>0</v>
      </c>
      <c r="F77" s="42">
        <f ca="1">SUM(F78:F80)</f>
        <v>0</v>
      </c>
    </row>
    <row r="78" spans="2:6" ht="15.75" customHeight="1">
      <c r="B78" s="24" t="s">
        <v>68</v>
      </c>
      <c r="C78" s="184" t="s">
        <v>22</v>
      </c>
      <c r="D78" s="184"/>
      <c r="E78" s="25">
        <f ca="1">PERC_PIS</f>
        <v>0</v>
      </c>
      <c r="F78" s="46">
        <f ca="1">((MOD_1_REMUNERACAO+MOD_2_ENCARGOS_BENEFICIOS+MOD_3_PROVISAO_RESCISAO+SUBMOD_4_1_SUBSTITUTO+MOD_5_INSUMOS+AL_6_A_CUSTOS_INDIRETOS+AL_6_B_LUCRO)*PERC_PIS%)/(1-PERC_TRIBUTOS%)</f>
        <v>0</v>
      </c>
    </row>
    <row r="79" spans="2:6">
      <c r="B79" s="24" t="s">
        <v>69</v>
      </c>
      <c r="C79" s="185" t="s">
        <v>23</v>
      </c>
      <c r="D79" s="185"/>
      <c r="E79" s="45">
        <f ca="1">PERC_COFINS</f>
        <v>0</v>
      </c>
      <c r="F79" s="47">
        <f ca="1">((MOD_1_REMUNERACAO+MOD_2_ENCARGOS_BENEFICIOS+MOD_3_PROVISAO_RESCISAO+SUBMOD_4_1_SUBSTITUTO+MOD_5_INSUMOS+AL_6_A_CUSTOS_INDIRETOS+AL_6_B_LUCRO)*PERC_COFINS%)/(1-PERC_TRIBUTOS%)</f>
        <v>0</v>
      </c>
    </row>
    <row r="80" spans="2:6" s="75" customFormat="1">
      <c r="B80" s="24" t="s">
        <v>70</v>
      </c>
      <c r="C80" s="184" t="s">
        <v>24</v>
      </c>
      <c r="D80" s="184"/>
      <c r="E80" s="25">
        <f ca="1">PERC_ISS</f>
        <v>0</v>
      </c>
      <c r="F80" s="46">
        <f ca="1">((MOD_1_REMUNERACAO+MOD_2_ENCARGOS_BENEFICIOS+MOD_3_PROVISAO_RESCISAO+SUBMOD_4_1_SUBSTITUTO+MOD_5_INSUMOS+AL_6_A_CUSTOS_INDIRETOS+AL_6_B_LUCRO)*PERC_ISS%)/(1-PERC_TRIBUTOS%)</f>
        <v>0</v>
      </c>
    </row>
    <row r="81" spans="2:8" s="75" customFormat="1">
      <c r="B81" s="161" t="s">
        <v>41</v>
      </c>
      <c r="C81" s="162"/>
      <c r="D81" s="162"/>
      <c r="E81" s="163"/>
      <c r="F81" s="30">
        <f ca="1">AL_6_A_CUSTOS_INDIRETOS+AL_6_B_LUCRO+AL_6_C_TRIBUTOS</f>
        <v>0</v>
      </c>
    </row>
    <row r="82" spans="2:8" s="75" customFormat="1" ht="20.25">
      <c r="B82" s="39" t="s">
        <v>48</v>
      </c>
      <c r="C82" s="9"/>
      <c r="D82" s="9"/>
      <c r="E82" s="9"/>
      <c r="F82" s="16"/>
    </row>
    <row r="83" spans="2:8" s="76" customFormat="1" ht="16.5" customHeight="1">
      <c r="B83" s="2" t="s">
        <v>81</v>
      </c>
      <c r="C83" s="155" t="s">
        <v>82</v>
      </c>
      <c r="D83" s="156"/>
      <c r="E83" s="157"/>
      <c r="F83" s="3" t="s">
        <v>18</v>
      </c>
    </row>
    <row r="84" spans="2:8" s="75" customFormat="1">
      <c r="B84" s="1">
        <v>1</v>
      </c>
      <c r="C84" s="158" t="s">
        <v>9</v>
      </c>
      <c r="D84" s="158"/>
      <c r="E84" s="158"/>
      <c r="F84" s="42">
        <f ca="1">MOD_1_REMUNERACAO</f>
        <v>0</v>
      </c>
    </row>
    <row r="85" spans="2:8" s="77" customFormat="1" ht="16.5" customHeight="1">
      <c r="B85" s="2">
        <v>2</v>
      </c>
      <c r="C85" s="167" t="s">
        <v>83</v>
      </c>
      <c r="D85" s="167"/>
      <c r="E85" s="167"/>
      <c r="F85" s="29">
        <f ca="1">MOD_2_ENCARGOS_BENEFICIOS</f>
        <v>0</v>
      </c>
    </row>
    <row r="86" spans="2:8" s="77" customFormat="1">
      <c r="B86" s="2">
        <v>3</v>
      </c>
      <c r="C86" s="158" t="s">
        <v>43</v>
      </c>
      <c r="D86" s="158"/>
      <c r="E86" s="158"/>
      <c r="F86" s="42">
        <f ca="1">MOD_3_PROVISAO_RESCISAO</f>
        <v>0</v>
      </c>
    </row>
    <row r="87" spans="2:8" s="77" customFormat="1">
      <c r="B87" s="2">
        <v>4</v>
      </c>
      <c r="C87" s="167" t="s">
        <v>46</v>
      </c>
      <c r="D87" s="167"/>
      <c r="E87" s="167"/>
      <c r="F87" s="29">
        <f ca="1">SUBMOD_4_1_SUBSTITUTO</f>
        <v>0</v>
      </c>
    </row>
    <row r="88" spans="2:8" s="77" customFormat="1">
      <c r="B88" s="2">
        <v>5</v>
      </c>
      <c r="C88" s="158" t="s">
        <v>0</v>
      </c>
      <c r="D88" s="158"/>
      <c r="E88" s="158"/>
      <c r="F88" s="42">
        <f ca="1">MOD_5_INSUMOS</f>
        <v>0</v>
      </c>
    </row>
    <row r="89" spans="2:8" s="77" customFormat="1">
      <c r="B89" s="2">
        <v>6</v>
      </c>
      <c r="C89" s="167" t="s">
        <v>20</v>
      </c>
      <c r="D89" s="167"/>
      <c r="E89" s="167"/>
      <c r="F89" s="29">
        <f ca="1">MOD_6_CUSTOS_IND_LUCRO_TRIB</f>
        <v>0</v>
      </c>
    </row>
    <row r="90" spans="2:8" ht="16.5" customHeight="1">
      <c r="B90" s="181" t="s">
        <v>84</v>
      </c>
      <c r="C90" s="181"/>
      <c r="D90" s="181"/>
      <c r="E90" s="181"/>
      <c r="F90" s="30">
        <f>SUM(F84:F89)</f>
        <v>0</v>
      </c>
    </row>
    <row r="91" spans="2:8" ht="16.5" customHeight="1">
      <c r="B91" s="181" t="s">
        <v>26</v>
      </c>
      <c r="C91" s="181"/>
      <c r="D91" s="181"/>
      <c r="E91" s="181"/>
      <c r="F91" s="30">
        <f ca="1">VALOR_TOTAL_EMPREGADO*EMPREG_POR_POSTO</f>
        <v>0</v>
      </c>
    </row>
    <row r="92" spans="2:8">
      <c r="B92" s="181" t="s">
        <v>138</v>
      </c>
      <c r="C92" s="181"/>
      <c r="D92" s="181"/>
      <c r="E92" s="181"/>
      <c r="F92" s="30">
        <f ca="1">VALOR_TOTAL_EMPREGADO*EMPREG_POR_POSTO*QTDE_POSTOS</f>
        <v>0</v>
      </c>
    </row>
    <row r="94" spans="2:8">
      <c r="F94" s="91"/>
    </row>
    <row r="96" spans="2:8">
      <c r="F96" s="91"/>
      <c r="H96" s="93"/>
    </row>
  </sheetData>
  <mergeCells count="82">
    <mergeCell ref="B5:C5"/>
    <mergeCell ref="D5:F5"/>
    <mergeCell ref="B6:C6"/>
    <mergeCell ref="D6:E6"/>
    <mergeCell ref="B1:F1"/>
    <mergeCell ref="B2:D2"/>
    <mergeCell ref="B3:F3"/>
    <mergeCell ref="B4:F4"/>
    <mergeCell ref="D16:F16"/>
    <mergeCell ref="C17:E17"/>
    <mergeCell ref="B7:F7"/>
    <mergeCell ref="C8:E8"/>
    <mergeCell ref="D9:F9"/>
    <mergeCell ref="C21:E21"/>
    <mergeCell ref="B18:F18"/>
    <mergeCell ref="B19:E19"/>
    <mergeCell ref="C33:D33"/>
    <mergeCell ref="C34:D34"/>
    <mergeCell ref="C22:E22"/>
    <mergeCell ref="C23:E23"/>
    <mergeCell ref="C10:E10"/>
    <mergeCell ref="C11:E11"/>
    <mergeCell ref="C12:E12"/>
    <mergeCell ref="C14:D14"/>
    <mergeCell ref="E14:F14"/>
    <mergeCell ref="D15:F15"/>
    <mergeCell ref="C44:E44"/>
    <mergeCell ref="C45:E45"/>
    <mergeCell ref="C37:D37"/>
    <mergeCell ref="B24:E24"/>
    <mergeCell ref="C27:D27"/>
    <mergeCell ref="C28:D28"/>
    <mergeCell ref="C29:D29"/>
    <mergeCell ref="B30:E30"/>
    <mergeCell ref="B31:F31"/>
    <mergeCell ref="C32:D32"/>
    <mergeCell ref="C58:D58"/>
    <mergeCell ref="C59:D59"/>
    <mergeCell ref="C35:D35"/>
    <mergeCell ref="C36:D36"/>
    <mergeCell ref="C49:D49"/>
    <mergeCell ref="C38:D38"/>
    <mergeCell ref="C39:D39"/>
    <mergeCell ref="C40:D40"/>
    <mergeCell ref="B41:E41"/>
    <mergeCell ref="C43:E43"/>
    <mergeCell ref="C69:E69"/>
    <mergeCell ref="C70:E70"/>
    <mergeCell ref="C46:E46"/>
    <mergeCell ref="B47:E47"/>
    <mergeCell ref="C61:D61"/>
    <mergeCell ref="C50:D50"/>
    <mergeCell ref="C52:D52"/>
    <mergeCell ref="C51:D51"/>
    <mergeCell ref="B53:E53"/>
    <mergeCell ref="C57:D57"/>
    <mergeCell ref="C79:D79"/>
    <mergeCell ref="C80:D80"/>
    <mergeCell ref="B81:E81"/>
    <mergeCell ref="C60:D60"/>
    <mergeCell ref="B71:E71"/>
    <mergeCell ref="C62:D62"/>
    <mergeCell ref="C63:D63"/>
    <mergeCell ref="B64:E64"/>
    <mergeCell ref="C67:E67"/>
    <mergeCell ref="C68:E68"/>
    <mergeCell ref="B73:F73"/>
    <mergeCell ref="C74:D74"/>
    <mergeCell ref="C75:D75"/>
    <mergeCell ref="C76:D76"/>
    <mergeCell ref="C77:D77"/>
    <mergeCell ref="C78:D78"/>
    <mergeCell ref="C83:E83"/>
    <mergeCell ref="C84:E84"/>
    <mergeCell ref="B92:E92"/>
    <mergeCell ref="C86:E86"/>
    <mergeCell ref="C87:E87"/>
    <mergeCell ref="C88:E88"/>
    <mergeCell ref="C89:E89"/>
    <mergeCell ref="B90:E90"/>
    <mergeCell ref="B91:E91"/>
    <mergeCell ref="C85:E85"/>
  </mergeCells>
  <phoneticPr fontId="0" type="noConversion"/>
  <printOptions horizontalCentered="1"/>
  <pageMargins left="0.08" right="0.05" top="0.19685039370078741" bottom="0.15748031496062992" header="0.19685039370078741" footer="0.15748031496062992"/>
  <pageSetup paperSize="9" orientation="portrait" r:id="rId1"/>
  <rowBreaks count="1" manualBreakCount="1">
    <brk id="47" min="1" max="5" man="1"/>
  </rowBreaks>
  <ignoredErrors>
    <ignoredError sqref="B1:F1 B13:F13 B4:F4 C3:F3 B2:F2 B10:F11 B9:D9 E9:F9 B12:E12 C17:F17 B14:D14 F14 B15:C15 E15:F15 C16 E16:F16 B7:F8 C6:F6 C5:F5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B1:J96"/>
  <sheetViews>
    <sheetView view="pageBreakPreview" topLeftCell="A45" zoomScaleNormal="100" zoomScaleSheetLayoutView="100" workbookViewId="0">
      <selection activeCell="I85" sqref="I85"/>
    </sheetView>
  </sheetViews>
  <sheetFormatPr defaultRowHeight="16.5"/>
  <cols>
    <col min="1" max="1" width="2.7109375" style="7" customWidth="1"/>
    <col min="2" max="2" width="8.85546875" style="7" customWidth="1"/>
    <col min="3" max="3" width="52.5703125" style="12" customWidth="1"/>
    <col min="4" max="4" width="7.85546875" style="12" customWidth="1"/>
    <col min="5" max="5" width="13.5703125" style="12" customWidth="1"/>
    <col min="6" max="6" width="15.42578125" style="12" bestFit="1" customWidth="1"/>
    <col min="7" max="8" width="9.140625" style="7"/>
    <col min="9" max="9" width="21.5703125" style="7" customWidth="1"/>
    <col min="10" max="10" width="13.7109375" style="7" bestFit="1" customWidth="1"/>
    <col min="11" max="16384" width="9.140625" style="7"/>
  </cols>
  <sheetData>
    <row r="1" spans="2:6" ht="20.25">
      <c r="B1" s="203" t="str">
        <f ca="1">RAMO</f>
        <v>RAMO:</v>
      </c>
      <c r="C1" s="204"/>
      <c r="D1" s="204"/>
      <c r="E1" s="204"/>
      <c r="F1" s="205"/>
    </row>
    <row r="2" spans="2:6" ht="20.25">
      <c r="B2" s="206" t="str">
        <f ca="1">UG</f>
        <v>UNIDADE GESTORA (SIGLA):</v>
      </c>
      <c r="C2" s="207"/>
      <c r="D2" s="208"/>
      <c r="E2" s="65" t="s">
        <v>49</v>
      </c>
      <c r="F2" s="66" t="str">
        <f ca="1">DATA_DO_ORCAMENTO_ESTIMATIVO</f>
        <v>XX/XX/20XX</v>
      </c>
    </row>
    <row r="3" spans="2:6" s="67" customFormat="1" ht="25.5">
      <c r="B3" s="141" t="s">
        <v>139</v>
      </c>
      <c r="C3" s="141"/>
      <c r="D3" s="141"/>
      <c r="E3" s="141"/>
      <c r="F3" s="141"/>
    </row>
    <row r="4" spans="2:6" s="67" customFormat="1" ht="15.95" customHeight="1">
      <c r="B4" s="131" t="s">
        <v>80</v>
      </c>
      <c r="C4" s="131"/>
      <c r="D4" s="131"/>
      <c r="E4" s="131"/>
      <c r="F4" s="131"/>
    </row>
    <row r="5" spans="2:6" s="67" customFormat="1" ht="15.95" customHeight="1">
      <c r="B5" s="127" t="s">
        <v>157</v>
      </c>
      <c r="C5" s="127"/>
      <c r="D5" s="201" t="str">
        <f ca="1">'INSERÇÃO-DE-DADOS (POSTOS) '!D6</f>
        <v>X.XX.XXX.XXXXXX/20XX-XX</v>
      </c>
      <c r="E5" s="201"/>
      <c r="F5" s="201"/>
    </row>
    <row r="6" spans="2:6" s="67" customFormat="1" ht="15.75" customHeight="1">
      <c r="B6" s="132" t="s">
        <v>158</v>
      </c>
      <c r="C6" s="132"/>
      <c r="D6" s="202" t="str">
        <f ca="1">'INSERÇÃO-DE-DADOS (POSTOS) '!D7</f>
        <v>Pregão nº</v>
      </c>
      <c r="E6" s="202"/>
      <c r="F6" s="90" t="str">
        <f ca="1">NUMERO_PREGAO</f>
        <v>XX/20XX</v>
      </c>
    </row>
    <row r="7" spans="2:6" s="67" customFormat="1" ht="15.75" customHeight="1">
      <c r="B7" s="199" t="s">
        <v>50</v>
      </c>
      <c r="C7" s="199"/>
      <c r="D7" s="199"/>
      <c r="E7" s="199"/>
      <c r="F7" s="199"/>
    </row>
    <row r="8" spans="2:6" s="67" customFormat="1" ht="18" customHeight="1">
      <c r="B8" s="18" t="s">
        <v>2</v>
      </c>
      <c r="C8" s="127" t="s">
        <v>55</v>
      </c>
      <c r="D8" s="127"/>
      <c r="E8" s="127"/>
      <c r="F8" s="68" t="str">
        <f ca="1">DATA_APRESENTACAO_PROPOSTA</f>
        <v>XX/XX/20XX</v>
      </c>
    </row>
    <row r="9" spans="2:6" s="67" customFormat="1" ht="15.95" customHeight="1">
      <c r="B9" s="1" t="s">
        <v>3</v>
      </c>
      <c r="C9" s="50" t="s">
        <v>31</v>
      </c>
      <c r="D9" s="195" t="str">
        <f ca="1">IF('INSERÇÃO-DE-DADOS (POSTOS) '!D12="","",'INSERÇÃO-DE-DADOS (POSTOS) '!D12)</f>
        <v/>
      </c>
      <c r="E9" s="195"/>
      <c r="F9" s="195"/>
    </row>
    <row r="10" spans="2:6" s="67" customFormat="1" ht="18.75" customHeight="1">
      <c r="B10" s="18" t="s">
        <v>4</v>
      </c>
      <c r="C10" s="127" t="s">
        <v>32</v>
      </c>
      <c r="D10" s="127"/>
      <c r="E10" s="127"/>
      <c r="F10" s="69" t="str">
        <f ca="1">ACORDO_COLETIVO</f>
        <v>XX/20XX</v>
      </c>
    </row>
    <row r="11" spans="2:6" s="67" customFormat="1" ht="15.95" customHeight="1">
      <c r="B11" s="1" t="s">
        <v>5</v>
      </c>
      <c r="C11" s="195" t="s">
        <v>56</v>
      </c>
      <c r="D11" s="195"/>
      <c r="E11" s="195"/>
      <c r="F11" s="23">
        <f ca="1">NUMERO_MESES_EXEC_CONTRATUAL</f>
        <v>12</v>
      </c>
    </row>
    <row r="12" spans="2:6" s="67" customFormat="1">
      <c r="B12" s="1" t="s">
        <v>6</v>
      </c>
      <c r="C12" s="196" t="s">
        <v>71</v>
      </c>
      <c r="D12" s="196"/>
      <c r="E12" s="196"/>
      <c r="F12" s="48">
        <f ca="1">'INSERÇÃO-DE-DADOS (POSTOS) '!F20</f>
        <v>21</v>
      </c>
    </row>
    <row r="13" spans="2:6" s="72" customFormat="1" ht="15" customHeight="1">
      <c r="B13" s="70" t="s">
        <v>136</v>
      </c>
      <c r="C13" s="71"/>
      <c r="D13" s="71"/>
      <c r="E13" s="71"/>
      <c r="F13" s="71"/>
    </row>
    <row r="14" spans="2:6" s="67" customFormat="1">
      <c r="B14" s="18">
        <v>1</v>
      </c>
      <c r="C14" s="145" t="s">
        <v>52</v>
      </c>
      <c r="D14" s="145"/>
      <c r="E14" s="197" t="str">
        <f ca="1">IF('INSERÇÃO-DE-DADOS (POSTOS) '!C20="","",'INSERÇÃO-DE-DADOS (POSTOS) '!C20)</f>
        <v>Carregador 44h</v>
      </c>
      <c r="F14" s="197"/>
    </row>
    <row r="15" spans="2:6" s="67" customFormat="1">
      <c r="B15" s="18">
        <v>2</v>
      </c>
      <c r="C15" s="20" t="s">
        <v>51</v>
      </c>
      <c r="D15" s="198">
        <f ca="1">'INSERÇÃO-DE-DADOS (POSTOS) '!D24</f>
        <v>0</v>
      </c>
      <c r="E15" s="198"/>
      <c r="F15" s="198"/>
    </row>
    <row r="16" spans="2:6" s="67" customFormat="1" ht="15" customHeight="1">
      <c r="B16" s="18">
        <v>3</v>
      </c>
      <c r="C16" s="86" t="s">
        <v>53</v>
      </c>
      <c r="D16" s="197">
        <f ca="1">'INSERÇÃO-DE-DADOS (POSTOS) '!D25</f>
        <v>0</v>
      </c>
      <c r="E16" s="197"/>
      <c r="F16" s="197"/>
    </row>
    <row r="17" spans="2:10" s="67" customFormat="1" ht="15" customHeight="1">
      <c r="B17" s="18">
        <v>4</v>
      </c>
      <c r="C17" s="144" t="s">
        <v>54</v>
      </c>
      <c r="D17" s="144"/>
      <c r="E17" s="144"/>
      <c r="F17" s="87" t="str">
        <f ca="1">DATA_BASE_CATEGORIA</f>
        <v>XX/XX/20XX</v>
      </c>
    </row>
    <row r="18" spans="2:10" s="73" customFormat="1" ht="20.25" customHeight="1">
      <c r="B18" s="200" t="s">
        <v>35</v>
      </c>
      <c r="C18" s="200"/>
      <c r="D18" s="200"/>
      <c r="E18" s="200"/>
      <c r="F18" s="200"/>
    </row>
    <row r="19" spans="2:10">
      <c r="B19" s="178" t="s">
        <v>47</v>
      </c>
      <c r="C19" s="178"/>
      <c r="D19" s="178"/>
      <c r="E19" s="178"/>
      <c r="F19" s="78">
        <f ca="1">IF('INSERÇÃO-DE-DADOS (POSTOS) '!E20="","",'INSERÇÃO-DE-DADOS (POSTOS) '!E20)</f>
        <v>1</v>
      </c>
    </row>
    <row r="20" spans="2:10">
      <c r="B20" s="38" t="s">
        <v>8</v>
      </c>
      <c r="E20" s="8"/>
      <c r="F20" s="8"/>
    </row>
    <row r="21" spans="2:10">
      <c r="B21" s="1">
        <v>1</v>
      </c>
      <c r="C21" s="164" t="s">
        <v>9</v>
      </c>
      <c r="D21" s="164"/>
      <c r="E21" s="164"/>
      <c r="F21" s="3" t="s">
        <v>13</v>
      </c>
    </row>
    <row r="22" spans="2:10">
      <c r="B22" s="1" t="s">
        <v>2</v>
      </c>
      <c r="C22" s="148" t="s">
        <v>76</v>
      </c>
      <c r="D22" s="148"/>
      <c r="E22" s="148"/>
      <c r="F22" s="41">
        <f ca="1">'INSERÇÃO-DE-DADOS (POSTOS) '!F33</f>
        <v>0</v>
      </c>
    </row>
    <row r="23" spans="2:10">
      <c r="B23" s="1" t="s">
        <v>3</v>
      </c>
      <c r="C23" s="192" t="str">
        <f ca="1">'INSERÇÃO-DE-DADOS (POSTOS) '!C35</f>
        <v>Outras Remunerações 1 (Especificar)-Carregador 44h</v>
      </c>
      <c r="D23" s="193"/>
      <c r="E23" s="194"/>
      <c r="F23" s="4">
        <f ca="1">'INSERÇÃO-DE-DADOS (POSTOS) '!F35</f>
        <v>0</v>
      </c>
    </row>
    <row r="24" spans="2:10">
      <c r="B24" s="186" t="s">
        <v>41</v>
      </c>
      <c r="C24" s="186"/>
      <c r="D24" s="186"/>
      <c r="E24" s="186"/>
      <c r="F24" s="33">
        <f>SUM(F22:F23)</f>
        <v>0</v>
      </c>
    </row>
    <row r="25" spans="2:10">
      <c r="B25" s="38" t="s">
        <v>57</v>
      </c>
      <c r="E25" s="14"/>
      <c r="F25" s="14"/>
    </row>
    <row r="26" spans="2:10">
      <c r="B26" s="38" t="s">
        <v>92</v>
      </c>
      <c r="C26" s="6"/>
      <c r="D26" s="15"/>
      <c r="E26" s="13"/>
      <c r="F26" s="13"/>
    </row>
    <row r="27" spans="2:10">
      <c r="B27" s="1" t="s">
        <v>58</v>
      </c>
      <c r="C27" s="178" t="s">
        <v>77</v>
      </c>
      <c r="D27" s="178"/>
      <c r="E27" s="3" t="s">
        <v>1</v>
      </c>
      <c r="F27" s="3" t="s">
        <v>13</v>
      </c>
    </row>
    <row r="28" spans="2:10">
      <c r="B28" s="1" t="s">
        <v>2</v>
      </c>
      <c r="C28" s="158" t="s">
        <v>42</v>
      </c>
      <c r="D28" s="158"/>
      <c r="E28" s="43">
        <f ca="1">PERC_DEC_TERC</f>
        <v>8.33</v>
      </c>
      <c r="F28" s="42">
        <f ca="1">PERC_DEC_TERC%*MOD_1_REMUNERACAO</f>
        <v>0</v>
      </c>
      <c r="J28" s="125"/>
    </row>
    <row r="29" spans="2:10">
      <c r="B29" s="2" t="s">
        <v>3</v>
      </c>
      <c r="C29" s="167" t="s">
        <v>78</v>
      </c>
      <c r="D29" s="167"/>
      <c r="E29" s="31">
        <f ca="1">PERC_ADIC_FERIAS</f>
        <v>2.78</v>
      </c>
      <c r="F29" s="29">
        <f ca="1">PERC_ADIC_FERIAS%*MOD_1_REMUNERACAO</f>
        <v>0</v>
      </c>
    </row>
    <row r="30" spans="2:10" s="74" customFormat="1">
      <c r="B30" s="161" t="s">
        <v>41</v>
      </c>
      <c r="C30" s="162"/>
      <c r="D30" s="162"/>
      <c r="E30" s="163"/>
      <c r="F30" s="34">
        <f>SUM(F28:F29)</f>
        <v>0</v>
      </c>
    </row>
    <row r="31" spans="2:10" s="74" customFormat="1" ht="31.5" customHeight="1">
      <c r="B31" s="191" t="s">
        <v>59</v>
      </c>
      <c r="C31" s="191"/>
      <c r="D31" s="191"/>
      <c r="E31" s="191"/>
      <c r="F31" s="191"/>
      <c r="I31" s="126"/>
    </row>
    <row r="32" spans="2:10" s="74" customFormat="1" ht="34.5" customHeight="1">
      <c r="B32" s="1" t="s">
        <v>60</v>
      </c>
      <c r="C32" s="179" t="s">
        <v>79</v>
      </c>
      <c r="D32" s="179"/>
      <c r="E32" s="3" t="s">
        <v>1</v>
      </c>
      <c r="F32" s="3" t="s">
        <v>13</v>
      </c>
    </row>
    <row r="33" spans="2:9">
      <c r="B33" s="1" t="s">
        <v>2</v>
      </c>
      <c r="C33" s="158" t="s">
        <v>36</v>
      </c>
      <c r="D33" s="158"/>
      <c r="E33" s="43">
        <f ca="1">PERC_INSS</f>
        <v>20</v>
      </c>
      <c r="F33" s="42">
        <f ca="1">PERC_INSS%*(MOD_1_REMUNERACAO+SUBMOD_2_1_DEC_TERC_ADIC_FERIAS)</f>
        <v>0</v>
      </c>
    </row>
    <row r="34" spans="2:9" s="67" customFormat="1">
      <c r="B34" s="2" t="s">
        <v>3</v>
      </c>
      <c r="C34" s="167" t="s">
        <v>38</v>
      </c>
      <c r="D34" s="167"/>
      <c r="E34" s="36">
        <f ca="1">PERC_SAL_EDUCACAO</f>
        <v>2.5</v>
      </c>
      <c r="F34" s="29">
        <f ca="1">PERC_SAL_EDUCACAO%*(MOD_1_REMUNERACAO+SUBMOD_2_1_DEC_TERC_ADIC_FERIAS)</f>
        <v>0</v>
      </c>
    </row>
    <row r="35" spans="2:9" s="67" customFormat="1">
      <c r="B35" s="2" t="s">
        <v>4</v>
      </c>
      <c r="C35" s="158" t="s">
        <v>74</v>
      </c>
      <c r="D35" s="158"/>
      <c r="E35" s="43">
        <f ca="1">PERC_RAT</f>
        <v>3</v>
      </c>
      <c r="F35" s="42">
        <f ca="1">PERC_RAT%*(MOD_1_REMUNERACAO+SUBMOD_2_1_DEC_TERC_ADIC_FERIAS)</f>
        <v>0</v>
      </c>
    </row>
    <row r="36" spans="2:9" s="67" customFormat="1">
      <c r="B36" s="2" t="s">
        <v>5</v>
      </c>
      <c r="C36" s="167" t="s">
        <v>72</v>
      </c>
      <c r="D36" s="167"/>
      <c r="E36" s="31">
        <f ca="1">PERC_SESC</f>
        <v>1.5</v>
      </c>
      <c r="F36" s="29">
        <f ca="1">PERC_SESC%*(MOD_1_REMUNERACAO+SUBMOD_2_1_DEC_TERC_ADIC_FERIAS)</f>
        <v>0</v>
      </c>
    </row>
    <row r="37" spans="2:9" s="67" customFormat="1">
      <c r="B37" s="2" t="s">
        <v>6</v>
      </c>
      <c r="C37" s="158" t="s">
        <v>73</v>
      </c>
      <c r="D37" s="158"/>
      <c r="E37" s="43">
        <f ca="1">PERC_SENAC</f>
        <v>1</v>
      </c>
      <c r="F37" s="42">
        <f ca="1">PERC_SENAC%*(MOD_1_REMUNERACAO+SUBMOD_2_1_DEC_TERC_ADIC_FERIAS)</f>
        <v>0</v>
      </c>
    </row>
    <row r="38" spans="2:9" s="67" customFormat="1">
      <c r="B38" s="2" t="s">
        <v>7</v>
      </c>
      <c r="C38" s="167" t="s">
        <v>40</v>
      </c>
      <c r="D38" s="167"/>
      <c r="E38" s="36">
        <f ca="1">PERC_SEBRAE</f>
        <v>0.6</v>
      </c>
      <c r="F38" s="29">
        <f ca="1">PERC_SEBRAE%*(MOD_1_REMUNERACAO+SUBMOD_2_1_DEC_TERC_ADIC_FERIAS)</f>
        <v>0</v>
      </c>
    </row>
    <row r="39" spans="2:9" s="67" customFormat="1">
      <c r="B39" s="2" t="s">
        <v>10</v>
      </c>
      <c r="C39" s="158" t="s">
        <v>37</v>
      </c>
      <c r="D39" s="158"/>
      <c r="E39" s="43">
        <f ca="1">PERC_INCRA</f>
        <v>0.2</v>
      </c>
      <c r="F39" s="42">
        <f ca="1">PERC_INCRA%*(MOD_1_REMUNERACAO+SUBMOD_2_1_DEC_TERC_ADIC_FERIAS)</f>
        <v>0</v>
      </c>
    </row>
    <row r="40" spans="2:9">
      <c r="B40" s="2" t="s">
        <v>11</v>
      </c>
      <c r="C40" s="167" t="s">
        <v>39</v>
      </c>
      <c r="D40" s="167"/>
      <c r="E40" s="36">
        <f ca="1">PERC_FGTS</f>
        <v>8</v>
      </c>
      <c r="F40" s="29">
        <f ca="1">PERC_FGTS%*(MOD_1_REMUNERACAO+SUBMOD_2_1_DEC_TERC_ADIC_FERIAS)</f>
        <v>0</v>
      </c>
    </row>
    <row r="41" spans="2:9">
      <c r="B41" s="161" t="s">
        <v>41</v>
      </c>
      <c r="C41" s="162"/>
      <c r="D41" s="162"/>
      <c r="E41" s="163"/>
      <c r="F41" s="35">
        <f>SUM(F33:F40)</f>
        <v>0</v>
      </c>
    </row>
    <row r="42" spans="2:9" ht="15.75" customHeight="1">
      <c r="B42" s="38" t="s">
        <v>62</v>
      </c>
      <c r="C42" s="67"/>
      <c r="D42" s="67"/>
      <c r="E42" s="67"/>
      <c r="F42" s="67"/>
    </row>
    <row r="43" spans="2:9" ht="15.75" customHeight="1">
      <c r="B43" s="1" t="s">
        <v>75</v>
      </c>
      <c r="C43" s="164" t="s">
        <v>14</v>
      </c>
      <c r="D43" s="164"/>
      <c r="E43" s="164"/>
      <c r="F43" s="3" t="s">
        <v>13</v>
      </c>
    </row>
    <row r="44" spans="2:9">
      <c r="B44" s="18" t="s">
        <v>2</v>
      </c>
      <c r="C44" s="158" t="s">
        <v>15</v>
      </c>
      <c r="D44" s="158"/>
      <c r="E44" s="158"/>
      <c r="F44" s="42">
        <f ca="1">IF(((TRANSPORTE_POR_DIA*DIAS_TRABALHADOS_NO_MES)-(PERC_DESC_TRANSP_REMUNERACAO%*(AL_1_A_SAL_BASE)))&gt;0,((TRANSPORTE_POR_DIA*DIAS_TRABALHADOS_NO_MES)-(PERC_DESC_TRANSP_REMUNERACAO%*(AL_1_A_SAL_BASE))),0)</f>
        <v>0</v>
      </c>
    </row>
    <row r="45" spans="2:9" s="74" customFormat="1">
      <c r="B45" s="18" t="s">
        <v>3</v>
      </c>
      <c r="C45" s="167" t="s">
        <v>61</v>
      </c>
      <c r="D45" s="167"/>
      <c r="E45" s="167"/>
      <c r="F45" s="29">
        <f ca="1">ALIMENTACAO_POR_DIA*DIAS_TRABALHADOS_NO_MES</f>
        <v>0</v>
      </c>
    </row>
    <row r="46" spans="2:9" s="74" customFormat="1">
      <c r="B46" s="18" t="s">
        <v>4</v>
      </c>
      <c r="C46" s="188" t="str">
        <f ca="1">OUTROS_BENEFICIOS_1_DESCRICAO</f>
        <v>Outros Benefícios 1 (Especificar)</v>
      </c>
      <c r="D46" s="189"/>
      <c r="E46" s="190"/>
      <c r="F46" s="42">
        <f ca="1">OUTROS_BENEFICIOS_1</f>
        <v>0</v>
      </c>
      <c r="I46" s="121"/>
    </row>
    <row r="47" spans="2:9" s="74" customFormat="1" ht="15" customHeight="1">
      <c r="B47" s="186" t="s">
        <v>41</v>
      </c>
      <c r="C47" s="186"/>
      <c r="D47" s="186"/>
      <c r="E47" s="186"/>
      <c r="F47" s="33">
        <f>SUM(F44:F46)</f>
        <v>0</v>
      </c>
    </row>
    <row r="48" spans="2:9" s="74" customFormat="1">
      <c r="B48" s="38" t="s">
        <v>63</v>
      </c>
      <c r="C48" s="6"/>
      <c r="D48" s="15"/>
      <c r="E48" s="13"/>
      <c r="F48" s="13"/>
    </row>
    <row r="49" spans="2:6" s="74" customFormat="1" ht="15" customHeight="1">
      <c r="B49" s="1">
        <v>3</v>
      </c>
      <c r="C49" s="178" t="s">
        <v>43</v>
      </c>
      <c r="D49" s="178"/>
      <c r="E49" s="3" t="s">
        <v>1</v>
      </c>
      <c r="F49" s="3" t="s">
        <v>13</v>
      </c>
    </row>
    <row r="50" spans="2:6" s="74" customFormat="1">
      <c r="B50" s="1" t="s">
        <v>2</v>
      </c>
      <c r="C50" s="180" t="s">
        <v>44</v>
      </c>
      <c r="D50" s="180"/>
      <c r="E50" s="43">
        <f ca="1">PERC_AVISO_PREVIO_IND</f>
        <v>0.28999999999999998</v>
      </c>
      <c r="F50" s="42">
        <f ca="1">PERC_AVISO_PREVIO_IND%*(MOD_1_REMUNERACAO+SUBMOD_2_1_DEC_TERC_ADIC_FERIAS+AL_2_2_FGTS+SUBMOD_2_3_BENEFICIOS)</f>
        <v>0</v>
      </c>
    </row>
    <row r="51" spans="2:6" s="74" customFormat="1">
      <c r="B51" s="2" t="s">
        <v>3</v>
      </c>
      <c r="C51" s="183" t="s">
        <v>45</v>
      </c>
      <c r="D51" s="183"/>
      <c r="E51" s="36">
        <f ca="1">PERC_AVISO_PREVIO_TRAB</f>
        <v>1.1599999999999999</v>
      </c>
      <c r="F51" s="29">
        <f ca="1">PERC_AVISO_PREVIO_TRAB%*(MOD_1_REMUNERACAO+SUBMOD_2_1_DEC_TERC_ADIC_FERIAS+SUBMOD_2_2_GPS_FGTS+SUBMOD_2_3_BENEFICIOS)</f>
        <v>0</v>
      </c>
    </row>
    <row r="52" spans="2:6" s="67" customFormat="1">
      <c r="B52" s="2" t="s">
        <v>4</v>
      </c>
      <c r="C52" s="180" t="s">
        <v>162</v>
      </c>
      <c r="D52" s="180"/>
      <c r="E52" s="43">
        <f ca="1">PERC_MULTA_FGTS_AV_PREV_TRAB</f>
        <v>0.04</v>
      </c>
      <c r="F52" s="42">
        <f ca="1">PERC_MULTA_FGTS_AV_PREV_TRAB%*(MOD_1_REMUNERACAO+SUBMOD_2_1_DEC_TERC_ADIC_FERIAS)</f>
        <v>0</v>
      </c>
    </row>
    <row r="53" spans="2:6" s="67" customFormat="1">
      <c r="B53" s="161" t="s">
        <v>41</v>
      </c>
      <c r="C53" s="162"/>
      <c r="D53" s="162"/>
      <c r="E53" s="163"/>
      <c r="F53" s="34">
        <f>SUM(F50:F52)</f>
        <v>0</v>
      </c>
    </row>
    <row r="54" spans="2:6" ht="7.5" customHeight="1">
      <c r="B54" s="10"/>
      <c r="C54" s="7"/>
      <c r="D54" s="11"/>
      <c r="E54" s="8"/>
      <c r="F54" s="8"/>
    </row>
    <row r="55" spans="2:6" s="67" customFormat="1" ht="15.95" customHeight="1">
      <c r="B55" s="38" t="s">
        <v>64</v>
      </c>
      <c r="C55" s="6"/>
      <c r="D55" s="15"/>
      <c r="E55" s="7"/>
      <c r="F55" s="7"/>
    </row>
    <row r="56" spans="2:6" s="67" customFormat="1" ht="15.95" customHeight="1">
      <c r="B56" s="38" t="s">
        <v>85</v>
      </c>
      <c r="C56" s="6"/>
      <c r="D56" s="15"/>
      <c r="E56" s="13"/>
      <c r="F56" s="13"/>
    </row>
    <row r="57" spans="2:6" s="67" customFormat="1">
      <c r="B57" s="1" t="s">
        <v>19</v>
      </c>
      <c r="C57" s="181" t="s">
        <v>86</v>
      </c>
      <c r="D57" s="181"/>
      <c r="E57" s="3" t="s">
        <v>1</v>
      </c>
      <c r="F57" s="3" t="s">
        <v>13</v>
      </c>
    </row>
    <row r="58" spans="2:6" s="67" customFormat="1" ht="15.95" customHeight="1">
      <c r="B58" s="2" t="s">
        <v>2</v>
      </c>
      <c r="C58" s="158" t="s">
        <v>87</v>
      </c>
      <c r="D58" s="158"/>
      <c r="E58" s="43">
        <f ca="1">PERC_SUBSTITUTO_FERIAS</f>
        <v>8.33</v>
      </c>
      <c r="F58" s="42">
        <f ca="1">PERC_SUBSTITUTO_FERIAS%*(MOD_1_REMUNERACAO+MOD_2_ENCARGOS_BENEFICIOS+MOD_3_PROVISAO_RESCISAO)</f>
        <v>0</v>
      </c>
    </row>
    <row r="59" spans="2:6" s="67" customFormat="1" ht="15.95" customHeight="1">
      <c r="B59" s="2" t="s">
        <v>3</v>
      </c>
      <c r="C59" s="167" t="s">
        <v>88</v>
      </c>
      <c r="D59" s="167"/>
      <c r="E59" s="36">
        <f ca="1">PERC_SUBSTITUTO_AUSENCIAS_LEGAIS</f>
        <v>2.2200000000000002</v>
      </c>
      <c r="F59" s="29">
        <f ca="1">PERC_SUBSTITUTO_AUSENCIAS_LEGAIS%*(MOD_1_REMUNERACAO+MOD_2_ENCARGOS_BENEFICIOS+MOD_3_PROVISAO_RESCISAO)</f>
        <v>0</v>
      </c>
    </row>
    <row r="60" spans="2:6" s="67" customFormat="1" ht="15.95" customHeight="1">
      <c r="B60" s="2" t="s">
        <v>4</v>
      </c>
      <c r="C60" s="158" t="s">
        <v>89</v>
      </c>
      <c r="D60" s="158"/>
      <c r="E60" s="43">
        <f ca="1">PERC_SUBSTITUTO_LICENCA_PATERNIDADE</f>
        <v>0.04</v>
      </c>
      <c r="F60" s="42">
        <f ca="1">PERC_SUBSTITUTO_LICENCA_PATERNIDADE%*(MOD_1_REMUNERACAO+MOD_2_ENCARGOS_BENEFICIOS+MOD_3_PROVISAO_RESCISAO)</f>
        <v>0</v>
      </c>
    </row>
    <row r="61" spans="2:6" s="67" customFormat="1">
      <c r="B61" s="2" t="s">
        <v>5</v>
      </c>
      <c r="C61" s="167" t="s">
        <v>90</v>
      </c>
      <c r="D61" s="167"/>
      <c r="E61" s="36">
        <f ca="1">PERC_SUBSTITUTO_ACID_TRAB</f>
        <v>0.02</v>
      </c>
      <c r="F61" s="29">
        <f ca="1">PERC_SUBSTITUTO_ACID_TRAB%*(MOD_1_REMUNERACAO+MOD_2_ENCARGOS_BENEFICIOS+MOD_3_PROVISAO_RESCISAO)</f>
        <v>0</v>
      </c>
    </row>
    <row r="62" spans="2:6" s="67" customFormat="1">
      <c r="B62" s="2" t="s">
        <v>6</v>
      </c>
      <c r="C62" s="158" t="s">
        <v>91</v>
      </c>
      <c r="D62" s="158"/>
      <c r="E62" s="43">
        <f ca="1">PERC_SUBSTITUTO_AFAST_MATERN</f>
        <v>0.14000000000000001</v>
      </c>
      <c r="F62" s="42">
        <f ca="1">PERC_SUBSTITUTO_AFAST_MATERN%*(MOD_1_REMUNERACAO+MOD_2_ENCARGOS_BENEFICIOS+MOD_3_PROVISAO_RESCISAO)</f>
        <v>0</v>
      </c>
    </row>
    <row r="63" spans="2:6" s="67" customFormat="1">
      <c r="B63" s="2" t="s">
        <v>7</v>
      </c>
      <c r="C63" s="187" t="str">
        <f ca="1">OUTRAS_AUSENCIAS_DESCRICAO</f>
        <v>Outras Ausências (Especificar - em %)</v>
      </c>
      <c r="D63" s="167"/>
      <c r="E63" s="40">
        <f ca="1">PERC_SUBSTITUTO_OUTRAS_AUSENCIAS</f>
        <v>0</v>
      </c>
      <c r="F63" s="29">
        <f ca="1">PERC_SUBSTITUTO_OUTRAS_AUSENCIAS%*(MOD_1_REMUNERACAO+MOD_2_ENCARGOS_BENEFICIOS+MOD_3_PROVISAO_RESCISAO)</f>
        <v>0</v>
      </c>
    </row>
    <row r="64" spans="2:6" s="67" customFormat="1">
      <c r="B64" s="161" t="s">
        <v>41</v>
      </c>
      <c r="C64" s="162"/>
      <c r="D64" s="162"/>
      <c r="E64" s="163"/>
      <c r="F64" s="34">
        <f>SUM(F58:F63)</f>
        <v>0</v>
      </c>
    </row>
    <row r="65" spans="2:6" ht="7.5" customHeight="1">
      <c r="B65" s="10"/>
      <c r="C65" s="7"/>
      <c r="D65" s="11"/>
      <c r="E65" s="8"/>
      <c r="F65" s="8"/>
    </row>
    <row r="66" spans="2:6">
      <c r="B66" s="38" t="s">
        <v>66</v>
      </c>
      <c r="C66" s="6"/>
      <c r="D66" s="6"/>
      <c r="E66" s="13"/>
      <c r="F66" s="13"/>
    </row>
    <row r="67" spans="2:6" ht="15.75" customHeight="1">
      <c r="B67" s="1">
        <v>5</v>
      </c>
      <c r="C67" s="164" t="s">
        <v>0</v>
      </c>
      <c r="D67" s="164"/>
      <c r="E67" s="164"/>
      <c r="F67" s="3" t="s">
        <v>13</v>
      </c>
    </row>
    <row r="68" spans="2:6">
      <c r="B68" s="18" t="s">
        <v>2</v>
      </c>
      <c r="C68" s="158" t="s">
        <v>16</v>
      </c>
      <c r="D68" s="158"/>
      <c r="E68" s="158"/>
      <c r="F68" s="42">
        <f ca="1">'INSERÇÃO-DE-DADOS (POSTOS) '!F54</f>
        <v>0</v>
      </c>
    </row>
    <row r="69" spans="2:6">
      <c r="B69" s="18" t="s">
        <v>3</v>
      </c>
      <c r="C69" s="167" t="s">
        <v>17</v>
      </c>
      <c r="D69" s="167"/>
      <c r="E69" s="167"/>
      <c r="F69" s="29">
        <f ca="1">MATERIAIS</f>
        <v>0</v>
      </c>
    </row>
    <row r="70" spans="2:6">
      <c r="B70" s="18" t="s">
        <v>4</v>
      </c>
      <c r="C70" s="187" t="str">
        <f ca="1">'INSERÇÃO-DE-DADOS (POSTOS) '!C57</f>
        <v>Outros 2 (Especificar)-Carregador 44h</v>
      </c>
      <c r="D70" s="167"/>
      <c r="E70" s="167"/>
      <c r="F70" s="29">
        <f ca="1">'INSERÇÃO-DE-DADOS (POSTOS) '!F57</f>
        <v>0</v>
      </c>
    </row>
    <row r="71" spans="2:6">
      <c r="B71" s="186" t="s">
        <v>41</v>
      </c>
      <c r="C71" s="186"/>
      <c r="D71" s="186"/>
      <c r="E71" s="186"/>
      <c r="F71" s="33">
        <f>SUM(F68:F70)</f>
        <v>0</v>
      </c>
    </row>
    <row r="72" spans="2:6" ht="7.5" customHeight="1">
      <c r="B72" s="10"/>
      <c r="C72" s="7"/>
      <c r="D72" s="11"/>
      <c r="E72" s="8"/>
      <c r="F72" s="8"/>
    </row>
    <row r="73" spans="2:6" ht="15" customHeight="1">
      <c r="B73" s="160" t="s">
        <v>65</v>
      </c>
      <c r="C73" s="160"/>
      <c r="D73" s="160"/>
      <c r="E73" s="160"/>
      <c r="F73" s="160"/>
    </row>
    <row r="74" spans="2:6">
      <c r="B74" s="1">
        <v>6</v>
      </c>
      <c r="C74" s="178" t="s">
        <v>20</v>
      </c>
      <c r="D74" s="178"/>
      <c r="E74" s="3" t="s">
        <v>1</v>
      </c>
      <c r="F74" s="3" t="s">
        <v>13</v>
      </c>
    </row>
    <row r="75" spans="2:6">
      <c r="B75" s="1" t="s">
        <v>2</v>
      </c>
      <c r="C75" s="158" t="s">
        <v>67</v>
      </c>
      <c r="D75" s="158"/>
      <c r="E75" s="44">
        <f ca="1">PERC_CUSTOS_INDIRETOS</f>
        <v>0</v>
      </c>
      <c r="F75" s="42">
        <f ca="1">PERC_CUSTOS_INDIRETOS%*(MOD_1_REMUNERACAO+MOD_2_ENCARGOS_BENEFICIOS+MOD_3_PROVISAO_RESCISAO+SUBMOD_4_1_SUBSTITUTO+MOD_5_INSUMOS)</f>
        <v>0</v>
      </c>
    </row>
    <row r="76" spans="2:6" ht="15.75" customHeight="1">
      <c r="B76" s="2" t="s">
        <v>3</v>
      </c>
      <c r="C76" s="167" t="s">
        <v>27</v>
      </c>
      <c r="D76" s="167"/>
      <c r="E76" s="37">
        <f ca="1">PERC_LUCRO</f>
        <v>0</v>
      </c>
      <c r="F76" s="29">
        <f ca="1">PERC_LUCRO%*(MOD_1_REMUNERACAO+MOD_2_ENCARGOS_BENEFICIOS+MOD_3_PROVISAO_RESCISAO+SUBMOD_4_1_SUBSTITUTO+MOD_5_INSUMOS+AL_6_A_CUSTOS_INDIRETOS)</f>
        <v>0</v>
      </c>
    </row>
    <row r="77" spans="2:6">
      <c r="B77" s="2" t="s">
        <v>4</v>
      </c>
      <c r="C77" s="158" t="s">
        <v>21</v>
      </c>
      <c r="D77" s="158"/>
      <c r="E77" s="44">
        <f>SUM(E78:E80)</f>
        <v>0</v>
      </c>
      <c r="F77" s="42">
        <f ca="1">SUM(F78:F80)</f>
        <v>0</v>
      </c>
    </row>
    <row r="78" spans="2:6" ht="15.75" customHeight="1">
      <c r="B78" s="24" t="s">
        <v>68</v>
      </c>
      <c r="C78" s="184" t="s">
        <v>22</v>
      </c>
      <c r="D78" s="184"/>
      <c r="E78" s="25">
        <f ca="1">PERC_PIS</f>
        <v>0</v>
      </c>
      <c r="F78" s="46">
        <f ca="1">((MOD_1_REMUNERACAO+MOD_2_ENCARGOS_BENEFICIOS+MOD_3_PROVISAO_RESCISAO+SUBMOD_4_1_SUBSTITUTO+MOD_5_INSUMOS+AL_6_A_CUSTOS_INDIRETOS+AL_6_B_LUCRO)*PERC_PIS%)/(1-PERC_TRIBUTOS%)</f>
        <v>0</v>
      </c>
    </row>
    <row r="79" spans="2:6">
      <c r="B79" s="24" t="s">
        <v>69</v>
      </c>
      <c r="C79" s="185" t="s">
        <v>23</v>
      </c>
      <c r="D79" s="185"/>
      <c r="E79" s="45">
        <f ca="1">PERC_COFINS</f>
        <v>0</v>
      </c>
      <c r="F79" s="47">
        <f ca="1">((MOD_1_REMUNERACAO+MOD_2_ENCARGOS_BENEFICIOS+MOD_3_PROVISAO_RESCISAO+SUBMOD_4_1_SUBSTITUTO+MOD_5_INSUMOS+AL_6_A_CUSTOS_INDIRETOS+AL_6_B_LUCRO)*PERC_COFINS%)/(1-PERC_TRIBUTOS%)</f>
        <v>0</v>
      </c>
    </row>
    <row r="80" spans="2:6" s="75" customFormat="1">
      <c r="B80" s="24" t="s">
        <v>70</v>
      </c>
      <c r="C80" s="184" t="s">
        <v>24</v>
      </c>
      <c r="D80" s="184"/>
      <c r="E80" s="25">
        <f ca="1">PERC_ISS</f>
        <v>0</v>
      </c>
      <c r="F80" s="46">
        <f ca="1">((MOD_1_REMUNERACAO+MOD_2_ENCARGOS_BENEFICIOS+MOD_3_PROVISAO_RESCISAO+SUBMOD_4_1_SUBSTITUTO+MOD_5_INSUMOS+AL_6_A_CUSTOS_INDIRETOS+AL_6_B_LUCRO)*PERC_ISS%)/(1-PERC_TRIBUTOS%)</f>
        <v>0</v>
      </c>
    </row>
    <row r="81" spans="2:8" s="75" customFormat="1">
      <c r="B81" s="161" t="s">
        <v>41</v>
      </c>
      <c r="C81" s="162"/>
      <c r="D81" s="162"/>
      <c r="E81" s="163"/>
      <c r="F81" s="30">
        <f ca="1">AL_6_A_CUSTOS_INDIRETOS+AL_6_B_LUCRO+AL_6_C_TRIBUTOS</f>
        <v>0</v>
      </c>
    </row>
    <row r="82" spans="2:8" s="75" customFormat="1" ht="20.25">
      <c r="B82" s="39" t="s">
        <v>48</v>
      </c>
      <c r="C82" s="9"/>
      <c r="D82" s="9"/>
      <c r="E82" s="9"/>
      <c r="F82" s="16"/>
    </row>
    <row r="83" spans="2:8" s="76" customFormat="1" ht="16.5" customHeight="1">
      <c r="B83" s="2" t="s">
        <v>81</v>
      </c>
      <c r="C83" s="155" t="s">
        <v>82</v>
      </c>
      <c r="D83" s="156"/>
      <c r="E83" s="157"/>
      <c r="F83" s="3" t="s">
        <v>18</v>
      </c>
    </row>
    <row r="84" spans="2:8" s="75" customFormat="1">
      <c r="B84" s="1">
        <v>1</v>
      </c>
      <c r="C84" s="158" t="s">
        <v>9</v>
      </c>
      <c r="D84" s="158"/>
      <c r="E84" s="158"/>
      <c r="F84" s="42">
        <f ca="1">MOD_1_REMUNERACAO</f>
        <v>0</v>
      </c>
    </row>
    <row r="85" spans="2:8" s="77" customFormat="1" ht="16.5" customHeight="1">
      <c r="B85" s="2">
        <v>2</v>
      </c>
      <c r="C85" s="167" t="s">
        <v>83</v>
      </c>
      <c r="D85" s="167"/>
      <c r="E85" s="167"/>
      <c r="F85" s="29">
        <f ca="1">MOD_2_ENCARGOS_BENEFICIOS</f>
        <v>0</v>
      </c>
    </row>
    <row r="86" spans="2:8" s="77" customFormat="1">
      <c r="B86" s="2">
        <v>3</v>
      </c>
      <c r="C86" s="158" t="s">
        <v>43</v>
      </c>
      <c r="D86" s="158"/>
      <c r="E86" s="158"/>
      <c r="F86" s="42">
        <f ca="1">MOD_3_PROVISAO_RESCISAO</f>
        <v>0</v>
      </c>
    </row>
    <row r="87" spans="2:8" s="77" customFormat="1">
      <c r="B87" s="2">
        <v>4</v>
      </c>
      <c r="C87" s="167" t="s">
        <v>46</v>
      </c>
      <c r="D87" s="167"/>
      <c r="E87" s="167"/>
      <c r="F87" s="29">
        <f ca="1">SUBMOD_4_1_SUBSTITUTO</f>
        <v>0</v>
      </c>
    </row>
    <row r="88" spans="2:8" s="77" customFormat="1">
      <c r="B88" s="2">
        <v>5</v>
      </c>
      <c r="C88" s="158" t="s">
        <v>0</v>
      </c>
      <c r="D88" s="158"/>
      <c r="E88" s="158"/>
      <c r="F88" s="42">
        <f ca="1">MOD_5_INSUMOS</f>
        <v>0</v>
      </c>
    </row>
    <row r="89" spans="2:8" s="77" customFormat="1">
      <c r="B89" s="2">
        <v>6</v>
      </c>
      <c r="C89" s="167" t="s">
        <v>20</v>
      </c>
      <c r="D89" s="167"/>
      <c r="E89" s="167"/>
      <c r="F89" s="29">
        <f ca="1">MOD_6_CUSTOS_IND_LUCRO_TRIB</f>
        <v>0</v>
      </c>
    </row>
    <row r="90" spans="2:8" ht="16.5" customHeight="1">
      <c r="B90" s="181" t="s">
        <v>84</v>
      </c>
      <c r="C90" s="181"/>
      <c r="D90" s="181"/>
      <c r="E90" s="181"/>
      <c r="F90" s="30">
        <f>SUM(F84:F89)</f>
        <v>0</v>
      </c>
    </row>
    <row r="91" spans="2:8" ht="16.5" customHeight="1">
      <c r="B91" s="181" t="s">
        <v>26</v>
      </c>
      <c r="C91" s="181"/>
      <c r="D91" s="181"/>
      <c r="E91" s="181"/>
      <c r="F91" s="30">
        <f ca="1">VALOR_TOTAL_EMPREGADO*'INSERÇÃO-DE-DADOS (POSTOS) '!E20</f>
        <v>0</v>
      </c>
    </row>
    <row r="92" spans="2:8">
      <c r="B92" s="181" t="s">
        <v>138</v>
      </c>
      <c r="C92" s="181"/>
      <c r="D92" s="181"/>
      <c r="E92" s="181"/>
      <c r="F92" s="30">
        <f ca="1">VALOR_TOTAL_EMPREGADO*'INSERÇÃO-DE-DADOS (POSTOS) '!E20*'INSERÇÃO-DE-DADOS (POSTOS) '!F20</f>
        <v>0</v>
      </c>
    </row>
    <row r="94" spans="2:8">
      <c r="F94" s="91"/>
    </row>
    <row r="96" spans="2:8">
      <c r="F96" s="91"/>
      <c r="H96" s="92"/>
    </row>
  </sheetData>
  <mergeCells count="82">
    <mergeCell ref="B1:F1"/>
    <mergeCell ref="B2:D2"/>
    <mergeCell ref="B3:F3"/>
    <mergeCell ref="B4:F4"/>
    <mergeCell ref="B5:C5"/>
    <mergeCell ref="D5:F5"/>
    <mergeCell ref="D16:F16"/>
    <mergeCell ref="B6:C6"/>
    <mergeCell ref="D6:E6"/>
    <mergeCell ref="B7:F7"/>
    <mergeCell ref="C8:E8"/>
    <mergeCell ref="D9:F9"/>
    <mergeCell ref="C10:E10"/>
    <mergeCell ref="C11:E11"/>
    <mergeCell ref="B24:E24"/>
    <mergeCell ref="C27:D27"/>
    <mergeCell ref="C28:D28"/>
    <mergeCell ref="C12:E12"/>
    <mergeCell ref="C14:D14"/>
    <mergeCell ref="E14:F14"/>
    <mergeCell ref="D15:F15"/>
    <mergeCell ref="C23:E23"/>
    <mergeCell ref="C17:E17"/>
    <mergeCell ref="B18:F18"/>
    <mergeCell ref="B19:E19"/>
    <mergeCell ref="C21:E21"/>
    <mergeCell ref="C22:E22"/>
    <mergeCell ref="C44:E44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B41:E41"/>
    <mergeCell ref="C43:E43"/>
    <mergeCell ref="C29:D29"/>
    <mergeCell ref="B30:E30"/>
    <mergeCell ref="B31:F31"/>
    <mergeCell ref="C58:D58"/>
    <mergeCell ref="C45:E45"/>
    <mergeCell ref="C46:E46"/>
    <mergeCell ref="B47:E47"/>
    <mergeCell ref="C49:D49"/>
    <mergeCell ref="C50:D50"/>
    <mergeCell ref="C51:D51"/>
    <mergeCell ref="C52:D52"/>
    <mergeCell ref="B53:E53"/>
    <mergeCell ref="C57:D57"/>
    <mergeCell ref="C59:D59"/>
    <mergeCell ref="C60:D60"/>
    <mergeCell ref="C61:D61"/>
    <mergeCell ref="C62:D62"/>
    <mergeCell ref="C63:D63"/>
    <mergeCell ref="B64:E64"/>
    <mergeCell ref="C76:D76"/>
    <mergeCell ref="C77:D77"/>
    <mergeCell ref="C78:D78"/>
    <mergeCell ref="C79:D79"/>
    <mergeCell ref="C67:E67"/>
    <mergeCell ref="C68:E68"/>
    <mergeCell ref="C69:E69"/>
    <mergeCell ref="C80:D80"/>
    <mergeCell ref="C89:E89"/>
    <mergeCell ref="B90:E90"/>
    <mergeCell ref="B91:E91"/>
    <mergeCell ref="B81:E81"/>
    <mergeCell ref="C70:E70"/>
    <mergeCell ref="B71:E71"/>
    <mergeCell ref="B73:F73"/>
    <mergeCell ref="C74:D74"/>
    <mergeCell ref="C75:D75"/>
    <mergeCell ref="B92:E92"/>
    <mergeCell ref="C83:E83"/>
    <mergeCell ref="C84:E84"/>
    <mergeCell ref="C85:E85"/>
    <mergeCell ref="C86:E86"/>
    <mergeCell ref="C87:E87"/>
    <mergeCell ref="C88:E88"/>
  </mergeCells>
  <phoneticPr fontId="0" type="noConversion"/>
  <printOptions horizontalCentered="1"/>
  <pageMargins left="0.08" right="0.05" top="0.19685039370078741" bottom="0.15748031496062992" header="0.19685039370078741" footer="0.15748031496062992"/>
  <pageSetup paperSize="9" orientation="portrait" r:id="rId1"/>
  <rowBreaks count="1" manualBreakCount="1">
    <brk id="47" min="1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C5:L18"/>
  <sheetViews>
    <sheetView view="pageBreakPreview" zoomScaleNormal="100" zoomScaleSheetLayoutView="100" workbookViewId="0">
      <selection activeCell="I13" sqref="I13"/>
    </sheetView>
  </sheetViews>
  <sheetFormatPr defaultRowHeight="12.75"/>
  <cols>
    <col min="4" max="4" width="43.140625" customWidth="1"/>
    <col min="5" max="5" width="24" customWidth="1"/>
    <col min="6" max="6" width="27.140625" customWidth="1"/>
    <col min="7" max="7" width="29.42578125" customWidth="1"/>
    <col min="9" max="9" width="15.85546875" bestFit="1" customWidth="1"/>
    <col min="11" max="11" width="15.85546875" bestFit="1" customWidth="1"/>
    <col min="12" max="12" width="14.28515625" bestFit="1" customWidth="1"/>
  </cols>
  <sheetData>
    <row r="5" spans="3:11" ht="25.5">
      <c r="C5" s="141" t="s">
        <v>165</v>
      </c>
      <c r="D5" s="141"/>
      <c r="E5" s="141"/>
      <c r="F5" s="141"/>
      <c r="G5" s="141"/>
    </row>
    <row r="6" spans="3:11" ht="16.5">
      <c r="C6" s="210" t="s">
        <v>166</v>
      </c>
      <c r="D6" s="211"/>
      <c r="E6" s="214" t="s">
        <v>167</v>
      </c>
      <c r="F6" s="216" t="s">
        <v>13</v>
      </c>
      <c r="G6" s="217"/>
    </row>
    <row r="7" spans="3:11" ht="16.5">
      <c r="C7" s="212"/>
      <c r="D7" s="213"/>
      <c r="E7" s="215"/>
      <c r="F7" s="3" t="s">
        <v>168</v>
      </c>
      <c r="G7" s="3" t="s">
        <v>41</v>
      </c>
    </row>
    <row r="8" spans="3:11" ht="16.5">
      <c r="C8" s="219" t="str">
        <f ca="1">'INSERÇÃO-DE-DADOS (POSTOS) '!C19</f>
        <v>Encarregado 44h</v>
      </c>
      <c r="D8" s="209"/>
      <c r="E8" s="95">
        <f ca="1">'INSERÇÃO-DE-DADOS (POSTOS) '!F19</f>
        <v>1</v>
      </c>
      <c r="F8" s="96">
        <f ca="1">'ENCARREGADO 44H'!VALOR_TOTAL_POSTO</f>
        <v>0</v>
      </c>
      <c r="G8" s="96">
        <f>E8*F8</f>
        <v>0</v>
      </c>
    </row>
    <row r="9" spans="3:11" ht="16.5">
      <c r="C9" s="218" t="s">
        <v>164</v>
      </c>
      <c r="D9" s="137"/>
      <c r="E9" s="97">
        <f ca="1">'INSERÇÃO-DE-DADOS (POSTOS) '!F20</f>
        <v>21</v>
      </c>
      <c r="F9" s="98">
        <f ca="1">'CARREGADOR 44H'!VALOR_TOTAL_POSTO</f>
        <v>0</v>
      </c>
      <c r="G9" s="98">
        <f>E9*F9</f>
        <v>0</v>
      </c>
    </row>
    <row r="10" spans="3:11" ht="16.5">
      <c r="C10" s="161" t="s">
        <v>169</v>
      </c>
      <c r="D10" s="162"/>
      <c r="E10" s="162"/>
      <c r="F10" s="163"/>
      <c r="G10" s="34">
        <f>SUM(G8:G9)</f>
        <v>0</v>
      </c>
      <c r="I10" s="122"/>
      <c r="K10" s="122"/>
    </row>
    <row r="11" spans="3:11" ht="16.5">
      <c r="C11" s="210" t="s">
        <v>180</v>
      </c>
      <c r="D11" s="211"/>
      <c r="E11" s="214" t="s">
        <v>170</v>
      </c>
      <c r="F11" s="216" t="s">
        <v>13</v>
      </c>
      <c r="G11" s="217"/>
    </row>
    <row r="12" spans="3:11" ht="16.5">
      <c r="C12" s="212"/>
      <c r="D12" s="213"/>
      <c r="E12" s="215"/>
      <c r="F12" s="3" t="s">
        <v>168</v>
      </c>
      <c r="G12" s="3" t="s">
        <v>41</v>
      </c>
    </row>
    <row r="13" spans="3:11" ht="16.5">
      <c r="C13" s="209" t="str">
        <f ca="1">'INSERÇÃO-DE-DADOS (POSTOS) '!C69</f>
        <v>Plano Ambulatorial</v>
      </c>
      <c r="D13" s="209"/>
      <c r="E13" s="95">
        <f ca="1">SUM(E8:E9)</f>
        <v>22</v>
      </c>
      <c r="F13" s="96">
        <f ca="1">'INSERÇÃO-DE-DADOS (POSTOS) '!F69</f>
        <v>0</v>
      </c>
      <c r="G13" s="96">
        <f>E13*F13</f>
        <v>0</v>
      </c>
    </row>
    <row r="14" spans="3:11" ht="16.5">
      <c r="C14" s="135" t="str">
        <f ca="1">'INSERÇÃO-DE-DADOS (POSTOS) '!C70</f>
        <v xml:space="preserve">Seguro de Vida e Assistência Funeral </v>
      </c>
      <c r="D14" s="137"/>
      <c r="E14" s="97">
        <f ca="1">SUM(E8:E9)</f>
        <v>22</v>
      </c>
      <c r="F14" s="98">
        <f ca="1">'INSERÇÃO-DE-DADOS (POSTOS) '!F70</f>
        <v>0</v>
      </c>
      <c r="G14" s="98">
        <f>E14*F14</f>
        <v>0</v>
      </c>
    </row>
    <row r="15" spans="3:11" ht="16.5">
      <c r="C15" s="209" t="str">
        <f ca="1">'INSERÇÃO-DE-DADOS (POSTOS) '!C71</f>
        <v xml:space="preserve">Assistência Odontológica </v>
      </c>
      <c r="D15" s="209"/>
      <c r="E15" s="95">
        <f ca="1">SUM(E8:E9)</f>
        <v>22</v>
      </c>
      <c r="F15" s="96">
        <f ca="1">'INSERÇÃO-DE-DADOS (POSTOS) '!F71</f>
        <v>0</v>
      </c>
      <c r="G15" s="96">
        <f>E15*F15</f>
        <v>0</v>
      </c>
    </row>
    <row r="16" spans="3:11" ht="16.5">
      <c r="C16" s="161" t="s">
        <v>181</v>
      </c>
      <c r="D16" s="162"/>
      <c r="E16" s="162"/>
      <c r="F16" s="163"/>
      <c r="G16" s="34">
        <f>SUM(G13:G15)</f>
        <v>0</v>
      </c>
      <c r="I16" s="122"/>
    </row>
    <row r="17" spans="3:12" ht="16.5">
      <c r="C17" s="161" t="s">
        <v>171</v>
      </c>
      <c r="D17" s="162"/>
      <c r="E17" s="162"/>
      <c r="F17" s="163"/>
      <c r="G17" s="34">
        <f>12*(G10+G16)</f>
        <v>0</v>
      </c>
      <c r="I17" s="123"/>
      <c r="K17" s="122"/>
      <c r="L17" s="123"/>
    </row>
    <row r="18" spans="3:12" ht="16.5">
      <c r="C18" s="161" t="s">
        <v>172</v>
      </c>
      <c r="D18" s="162"/>
      <c r="E18" s="162"/>
      <c r="F18" s="163"/>
      <c r="G18" s="34">
        <f>5%*G17</f>
        <v>0</v>
      </c>
    </row>
  </sheetData>
  <mergeCells count="16">
    <mergeCell ref="C10:F10"/>
    <mergeCell ref="C11:D12"/>
    <mergeCell ref="E11:E12"/>
    <mergeCell ref="F11:G11"/>
    <mergeCell ref="C9:D9"/>
    <mergeCell ref="C5:G5"/>
    <mergeCell ref="C6:D7"/>
    <mergeCell ref="E6:E7"/>
    <mergeCell ref="F6:G6"/>
    <mergeCell ref="C8:D8"/>
    <mergeCell ref="C17:F17"/>
    <mergeCell ref="C18:F18"/>
    <mergeCell ref="C13:D13"/>
    <mergeCell ref="C14:D14"/>
    <mergeCell ref="C15:D15"/>
    <mergeCell ref="C16:F16"/>
  </mergeCells>
  <phoneticPr fontId="0" type="noConversion"/>
  <pageMargins left="0.511811024" right="0.511811024" top="0.78740157499999996" bottom="0.78740157499999996" header="0.31496062000000002" footer="0.3149606200000000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140</vt:i4>
      </vt:variant>
    </vt:vector>
  </HeadingPairs>
  <TitlesOfParts>
    <vt:vector size="148" baseType="lpstr">
      <vt:lpstr>INSERÇÃO-DE-DADOS (POSTOS) </vt:lpstr>
      <vt:lpstr>INSERÇÃO-DE-DADOS (UNIFORMES)</vt:lpstr>
      <vt:lpstr>INSERÇÃO-DE-DADOS (MATERIAIS)</vt:lpstr>
      <vt:lpstr>DADOS-ESTATISTICOS</vt:lpstr>
      <vt:lpstr>ENCARGOS-SOCIAIS-E-TRABALHISTAS</vt:lpstr>
      <vt:lpstr>ENCARREGADO 44H</vt:lpstr>
      <vt:lpstr>CARREGADOR 44H</vt:lpstr>
      <vt:lpstr>QUADRO RESUMO</vt:lpstr>
      <vt:lpstr>ACORDO_COLETIVO</vt:lpstr>
      <vt:lpstr>'CARREGADOR 44H'!AL_1_A_SAL_BASE</vt:lpstr>
      <vt:lpstr>'ENCARREGADO 44H'!AL_1_A_SAL_BASE</vt:lpstr>
      <vt:lpstr>'CARREGADOR 44H'!AL_2_1_A_DEC_TERC</vt:lpstr>
      <vt:lpstr>'ENCARREGADO 44H'!AL_2_1_A_DEC_TERC</vt:lpstr>
      <vt:lpstr>'CARREGADOR 44H'!AL_2_1_B_ADIC_FERIAS</vt:lpstr>
      <vt:lpstr>'ENCARREGADO 44H'!AL_2_1_B_ADIC_FERIAS</vt:lpstr>
      <vt:lpstr>'CARREGADOR 44H'!AL_2_2_FGTS</vt:lpstr>
      <vt:lpstr>'ENCARREGADO 44H'!AL_2_2_FGTS</vt:lpstr>
      <vt:lpstr>'CARREGADOR 44H'!AL_2_3_A_TRANSP</vt:lpstr>
      <vt:lpstr>'ENCARREGADO 44H'!AL_2_3_A_TRANSP</vt:lpstr>
      <vt:lpstr>'CARREGADOR 44H'!AL_2_3_B_AUX_ALIMENT</vt:lpstr>
      <vt:lpstr>'ENCARREGADO 44H'!AL_2_3_B_AUX_ALIMENT</vt:lpstr>
      <vt:lpstr>'CARREGADOR 44H'!AL_2_3_C_OUTROS_BENEF</vt:lpstr>
      <vt:lpstr>'ENCARREGADO 44H'!AL_2_3_C_OUTROS_BENEF</vt:lpstr>
      <vt:lpstr>'CARREGADOR 44H'!AL_2_A_ATE_2_G_GPS</vt:lpstr>
      <vt:lpstr>'ENCARREGADO 44H'!AL_2_A_ATE_2_G_GPS</vt:lpstr>
      <vt:lpstr>'CARREGADOR 44H'!AL_6_A_CUSTOS_INDIRETOS</vt:lpstr>
      <vt:lpstr>'ENCARREGADO 44H'!AL_6_A_CUSTOS_INDIRETOS</vt:lpstr>
      <vt:lpstr>'CARREGADOR 44H'!AL_6_B_LUCRO</vt:lpstr>
      <vt:lpstr>'ENCARREGADO 44H'!AL_6_B_LUCRO</vt:lpstr>
      <vt:lpstr>'CARREGADOR 44H'!AL_6_C_1_PIS</vt:lpstr>
      <vt:lpstr>'ENCARREGADO 44H'!AL_6_C_1_PIS</vt:lpstr>
      <vt:lpstr>'CARREGADOR 44H'!AL_6_C_2_COFINS</vt:lpstr>
      <vt:lpstr>'ENCARREGADO 44H'!AL_6_C_2_COFINS</vt:lpstr>
      <vt:lpstr>'CARREGADOR 44H'!AL_6_C_3_ISS</vt:lpstr>
      <vt:lpstr>'ENCARREGADO 44H'!AL_6_C_3_ISS</vt:lpstr>
      <vt:lpstr>'CARREGADOR 44H'!AL_6_C_TRIBUTOS</vt:lpstr>
      <vt:lpstr>'ENCARREGADO 44H'!AL_6_C_TRIBUTOS</vt:lpstr>
      <vt:lpstr>ALIMENTACAO_POR_DIA</vt:lpstr>
      <vt:lpstr>'CARREGADOR 44H'!Area_de_impressao</vt:lpstr>
      <vt:lpstr>'DADOS-ESTATISTICOS'!Area_de_impressao</vt:lpstr>
      <vt:lpstr>'ENCARGOS-SOCIAIS-E-TRABALHISTAS'!Area_de_impressao</vt:lpstr>
      <vt:lpstr>'ENCARREGADO 44H'!Area_de_impressao</vt:lpstr>
      <vt:lpstr>'INSERÇÃO-DE-DADOS (MATERIAIS)'!Area_de_impressao</vt:lpstr>
      <vt:lpstr>'INSERÇÃO-DE-DADOS (POSTOS) '!Area_de_impressao</vt:lpstr>
      <vt:lpstr>'INSERÇÃO-DE-DADOS (UNIFORMES)'!Area_de_impressao</vt:lpstr>
      <vt:lpstr>'QUADRO RESUMO'!Area_de_impressao</vt:lpstr>
      <vt:lpstr>CATEGORIA_PROFISSIONAL</vt:lpstr>
      <vt:lpstr>CBO</vt:lpstr>
      <vt:lpstr>DATA_APRESENTACAO_PROPOSTA</vt:lpstr>
      <vt:lpstr>DATA_BASE_CATEGORIA</vt:lpstr>
      <vt:lpstr>DATA_DO_ORCAMENTO_ESTIMATIVO</vt:lpstr>
      <vt:lpstr>DATA_LICITACAO</vt:lpstr>
      <vt:lpstr>DIAS_AUSENCIAS_LEGAIS</vt:lpstr>
      <vt:lpstr>DIAS_LICENCA_MATERNIDADE</vt:lpstr>
      <vt:lpstr>DIAS_LICENCA_PATERNIDADE</vt:lpstr>
      <vt:lpstr>DIAS_NA_SEMANA</vt:lpstr>
      <vt:lpstr>DIAS_NO_ANO</vt:lpstr>
      <vt:lpstr>DIAS_NO_MES</vt:lpstr>
      <vt:lpstr>DIAS_PAGOS_EMPRESA_ACID_TRAB</vt:lpstr>
      <vt:lpstr>DIAS_TRABALHADOS_NO_MES</vt:lpstr>
      <vt:lpstr>DIVISOR_DE_HORAS</vt:lpstr>
      <vt:lpstr>EMPREG_POR_POSTO</vt:lpstr>
      <vt:lpstr>HORA_NORMAL</vt:lpstr>
      <vt:lpstr>HORA_NOTURNA</vt:lpstr>
      <vt:lpstr>HORARIO_LICITACAO</vt:lpstr>
      <vt:lpstr>LOCAL_DE_EXECUCAO</vt:lpstr>
      <vt:lpstr>MATERIAIS</vt:lpstr>
      <vt:lpstr>MEDIA_ANUAL_DIAS_TRABALHO_MES</vt:lpstr>
      <vt:lpstr>MESES_NO_ANO</vt:lpstr>
      <vt:lpstr>'CARREGADOR 44H'!MOD_1_REMUNERACAO</vt:lpstr>
      <vt:lpstr>'ENCARREGADO 44H'!MOD_1_REMUNERACAO</vt:lpstr>
      <vt:lpstr>'CARREGADOR 44H'!MOD_3_PROVISAO_RESCISAO</vt:lpstr>
      <vt:lpstr>'ENCARREGADO 44H'!MOD_3_PROVISAO_RESCISAO</vt:lpstr>
      <vt:lpstr>'CARREGADOR 44H'!MOD_5_INSUMOS</vt:lpstr>
      <vt:lpstr>'ENCARREGADO 44H'!MOD_5_INSUMOS</vt:lpstr>
      <vt:lpstr>'CARREGADOR 44H'!MOD_6_CUSTOS_IND_LUCRO_TRIB</vt:lpstr>
      <vt:lpstr>'ENCARREGADO 44H'!MOD_6_CUSTOS_IND_LUCRO_TRIB</vt:lpstr>
      <vt:lpstr>MODALIDADE_DE_LICITACAO</vt:lpstr>
      <vt:lpstr>NUMERO_MESES_EXEC_CONTRATUAL</vt:lpstr>
      <vt:lpstr>NUMERO_PREGAO</vt:lpstr>
      <vt:lpstr>NUMERO_PROCESSO</vt:lpstr>
      <vt:lpstr>OUTRAS_AUSENCIAS</vt:lpstr>
      <vt:lpstr>OUTRAS_AUSENCIAS_DESCRICAO</vt:lpstr>
      <vt:lpstr>OUTROS_BENEFICIOS_1</vt:lpstr>
      <vt:lpstr>OUTROS_BENEFICIOS_1_DESCRICAO</vt:lpstr>
      <vt:lpstr>OUTROS_INSUMOS</vt:lpstr>
      <vt:lpstr>OUTROS_INSUMOS_DESCRICAO</vt:lpstr>
      <vt:lpstr>OUTROS_REMUNERACAO_1</vt:lpstr>
      <vt:lpstr>OUTROS_REMUNERACAO_1_DESCRICAO</vt:lpstr>
      <vt:lpstr>PERC_ADIC_FERIAS</vt:lpstr>
      <vt:lpstr>PERC_AVISO_PREVIO_IND</vt:lpstr>
      <vt:lpstr>PERC_AVISO_PREVIO_TRAB</vt:lpstr>
      <vt:lpstr>PERC_COFINS</vt:lpstr>
      <vt:lpstr>PERC_CUSTOS_INDIRETOS</vt:lpstr>
      <vt:lpstr>PERC_DEC_TERC</vt:lpstr>
      <vt:lpstr>PERC_DESC_TRANSP_REMUNERACAO</vt:lpstr>
      <vt:lpstr>PERC_EMPREG_AFAST_TRAB</vt:lpstr>
      <vt:lpstr>PERC_EMPREG_AVISO_PREVIO_IND</vt:lpstr>
      <vt:lpstr>PERC_EMPREG_AVISO_PREVIO_TRAB</vt:lpstr>
      <vt:lpstr>PERC_EMPREG_DEMIT_SEM_JUSTA_CAUSA_TOTAL_DESLIG</vt:lpstr>
      <vt:lpstr>PERC_FGTS</vt:lpstr>
      <vt:lpstr>PERC_GPS_FGTS</vt:lpstr>
      <vt:lpstr>PERC_INCRA</vt:lpstr>
      <vt:lpstr>PERC_INSS</vt:lpstr>
      <vt:lpstr>PERC_ISS</vt:lpstr>
      <vt:lpstr>PERC_LUCRO</vt:lpstr>
      <vt:lpstr>'CARREGADOR 44H'!PERC_MOD_3_PROVISAO_RESCISAO</vt:lpstr>
      <vt:lpstr>'ENCARREGADO 44H'!PERC_MOD_3_PROVISAO_RESCISAO</vt:lpstr>
      <vt:lpstr>PERC_MULTA_FGTS</vt:lpstr>
      <vt:lpstr>PERC_MULTA_FGTS_AV_PREV_TRAB</vt:lpstr>
      <vt:lpstr>PERC_NASCIDOS_VIVOS_POPUL_FEM</vt:lpstr>
      <vt:lpstr>PERC_PARTIC_FEM_VIGIL</vt:lpstr>
      <vt:lpstr>PERC_PARTIC_MASC_VIGIL</vt:lpstr>
      <vt:lpstr>PERC_PIS</vt:lpstr>
      <vt:lpstr>PERC_RAT</vt:lpstr>
      <vt:lpstr>PERC_SAL_EDUCACAO</vt:lpstr>
      <vt:lpstr>PERC_SEBRAE</vt:lpstr>
      <vt:lpstr>PERC_SENAC</vt:lpstr>
      <vt:lpstr>PERC_SESC</vt:lpstr>
      <vt:lpstr>PERC_SUBSTITUTO_ACID_TRAB</vt:lpstr>
      <vt:lpstr>PERC_SUBSTITUTO_AFAST_MATERN</vt:lpstr>
      <vt:lpstr>PERC_SUBSTITUTO_AUSENCIAS_LEGAIS</vt:lpstr>
      <vt:lpstr>PERC_SUBSTITUTO_FERIAS</vt:lpstr>
      <vt:lpstr>PERC_SUBSTITUTO_LICENCA_PATERNIDADE</vt:lpstr>
      <vt:lpstr>PERC_SUBSTITUTO_OUTRAS_AUSENCIAS</vt:lpstr>
      <vt:lpstr>'CARREGADOR 44H'!PERC_TRIBUTOS</vt:lpstr>
      <vt:lpstr>'ENCARREGADO 44H'!PERC_TRIBUTOS</vt:lpstr>
      <vt:lpstr>'CARREGADOR 44H'!QTDE_POSTOS</vt:lpstr>
      <vt:lpstr>'ENCARREGADO 44H'!QTDE_POSTOS</vt:lpstr>
      <vt:lpstr>RAMO</vt:lpstr>
      <vt:lpstr>SAL_MINIMO</vt:lpstr>
      <vt:lpstr>SALARIO_BASE</vt:lpstr>
      <vt:lpstr>'CARREGADOR 44H'!SUBMOD_2_1_DEC_TERC_ADIC_FERIAS</vt:lpstr>
      <vt:lpstr>'ENCARREGADO 44H'!SUBMOD_2_1_DEC_TERC_ADIC_FERIAS</vt:lpstr>
      <vt:lpstr>'CARREGADOR 44H'!SUBMOD_2_2_GPS_FGTS</vt:lpstr>
      <vt:lpstr>'ENCARREGADO 44H'!SUBMOD_2_2_GPS_FGTS</vt:lpstr>
      <vt:lpstr>'CARREGADOR 44H'!SUBMOD_2_3_BENEFICIOS</vt:lpstr>
      <vt:lpstr>'ENCARREGADO 44H'!SUBMOD_2_3_BENEFICIOS</vt:lpstr>
      <vt:lpstr>'CARREGADOR 44H'!SUBMOD_4_1_SUBSTITUTO</vt:lpstr>
      <vt:lpstr>'ENCARREGADO 44H'!SUBMOD_4_1_SUBSTITUTO</vt:lpstr>
      <vt:lpstr>TIPO_DE_SERVICO</vt:lpstr>
      <vt:lpstr>TRANSPORTE_POR_DIA</vt:lpstr>
      <vt:lpstr>UG</vt:lpstr>
      <vt:lpstr>UNIFORMES</vt:lpstr>
      <vt:lpstr>'CARREGADOR 44H'!VALOR_TOTAL_EMPREGADO</vt:lpstr>
      <vt:lpstr>'ENCARREGADO 44H'!VALOR_TOTAL_EMPREGADO</vt:lpstr>
      <vt:lpstr>'CARREGADOR 44H'!VALOR_TOTAL_POSTO</vt:lpstr>
      <vt:lpstr>'ENCARREGADO 44H'!VALOR_TOTAL_POSTO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Felipe Flores da Silva</dc:creator>
  <cp:lastModifiedBy>anacz</cp:lastModifiedBy>
  <cp:lastPrinted>2022-07-26T23:21:37Z</cp:lastPrinted>
  <dcterms:created xsi:type="dcterms:W3CDTF">2014-02-07T18:14:59Z</dcterms:created>
  <dcterms:modified xsi:type="dcterms:W3CDTF">2022-12-27T15:42:04Z</dcterms:modified>
</cp:coreProperties>
</file>