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C:\Users\tiago\Downloads\"/>
    </mc:Choice>
  </mc:AlternateContent>
  <xr:revisionPtr revIDLastSave="0" documentId="13_ncr:1_{73B0EE5B-BFCF-49B9-AB51-89B73C19BD8D}" xr6:coauthVersionLast="47" xr6:coauthVersionMax="47" xr10:uidLastSave="{00000000-0000-0000-0000-000000000000}"/>
  <bookViews>
    <workbookView xWindow="-28920" yWindow="-2070" windowWidth="29040" windowHeight="15720" tabRatio="899" firstSheet="3" activeTab="5" xr2:uid="{00000000-000D-0000-FFFF-FFFF00000000}"/>
  </bookViews>
  <sheets>
    <sheet name="INSERÇÃO-DE-DADOS" sheetId="11" r:id="rId1"/>
    <sheet name="UNIFORMES" sheetId="15" r:id="rId2"/>
    <sheet name="DADOS-ESTATISTICOS" sheetId="14" r:id="rId3"/>
    <sheet name="ENCARGOS-SOCIAIS-E-TRABALHISTAS" sheetId="12" r:id="rId4"/>
    <sheet name="VIGILANTE 12X36 DIU" sheetId="16" r:id="rId5"/>
    <sheet name="VIGILANTE 12x36 - NOT" sheetId="17" r:id="rId6"/>
    <sheet name="VIGILANTE 44 H Ñ LETAL" sheetId="19" r:id="rId7"/>
    <sheet name="VIGILANTE 44 H" sheetId="18" r:id="rId8"/>
    <sheet name="SUPERVISOR 12X36 DIU" sheetId="2" r:id="rId9"/>
    <sheet name="SUPERVISOR 12x36 - NOT" sheetId="7" r:id="rId10"/>
    <sheet name="SUPERVISOR 44 HORAS" sheetId="9" r:id="rId11"/>
    <sheet name="QUADRO-RESUMO" sheetId="10" r:id="rId12"/>
    <sheet name="LIMITES-SEGES" sheetId="13" state="hidden" r:id="rId13"/>
  </sheets>
  <externalReferences>
    <externalReference r:id="rId14"/>
  </externalReferences>
  <definedNames>
    <definedName name="ACORDO_COLETIVO">'INSERÇÃO-DE-DADOS'!$F$14</definedName>
    <definedName name="AL_1_A_SAL_BASE_12X36_DIU" localSheetId="4">'VIGILANTE 12X36 DIU'!$F$24</definedName>
    <definedName name="AL_1_A_SAL_BASE_12X36_DIU">'SUPERVISOR 12X36 DIU'!$F$24</definedName>
    <definedName name="AL_1_A_SAL_BASE_12X36_NOT" localSheetId="5">'VIGILANTE 12x36 - NOT'!$F$22</definedName>
    <definedName name="AL_1_A_SAL_BASE_12X36_NOT">'SUPERVISOR 12x36 - NOT'!$F$22</definedName>
    <definedName name="AL_1_A_SAL_BASE_44H" localSheetId="7">'VIGILANTE 44 H'!$F$24</definedName>
    <definedName name="AL_1_A_SAL_BASE_44H" localSheetId="6">'VIGILANTE 44 H Ñ LETAL'!$F$24</definedName>
    <definedName name="AL_1_A_SAL_BASE_44H">'SUPERVISOR 44 HORAS'!$F$24</definedName>
    <definedName name="AL_1_B_ADIC_PERIC_12X36_DIU" localSheetId="4">'VIGILANTE 12X36 DIU'!$F$25</definedName>
    <definedName name="AL_1_B_ADIC_PERIC_12X36_DIU">'SUPERVISOR 12X36 DIU'!$F$25</definedName>
    <definedName name="AL_1_B_ADIC_PERIC_12X36_NOT" localSheetId="5">'VIGILANTE 12x36 - NOT'!$F$23</definedName>
    <definedName name="AL_1_B_ADIC_PERIC_12X36_NOT">'SUPERVISOR 12x36 - NOT'!$F$23</definedName>
    <definedName name="AL_1_B_ADIC_PERIC_44H" localSheetId="7">'VIGILANTE 44 H'!$F$25</definedName>
    <definedName name="AL_1_B_ADIC_PERIC_44H" localSheetId="6">'VIGILANTE 44 H Ñ LETAL'!$F$25</definedName>
    <definedName name="AL_1_B_ADIC_PERIC_44H">'SUPERVISOR 44 HORAS'!$F$25</definedName>
    <definedName name="AL_1_C_ADIC_NOT_12X36_NOT" localSheetId="5">'VIGILANTE 12x36 - NOT'!$F$24</definedName>
    <definedName name="AL_1_C_ADIC_NOT_12X36_NOT">'SUPERVISOR 12x36 - NOT'!$F$24</definedName>
    <definedName name="AL_1_D_ADIC_NOT_RED_12X36_NOT" localSheetId="5">'VIGILANTE 12x36 - NOT'!$F$25</definedName>
    <definedName name="AL_1_D_ADIC_NOT_RED_12X36_NOT">'SUPERVISOR 12x36 - NOT'!$F$25</definedName>
    <definedName name="AL_1_E_OUTROS_REM_12X36_NOT" localSheetId="5">'VIGILANTE 12x36 - NOT'!#REF!</definedName>
    <definedName name="AL_1_E_OUTROS_REM_12X36_NOT">'SUPERVISOR 12x36 - NOT'!#REF!</definedName>
    <definedName name="AL_2_1_A_DEC_TERC_12X36_DIU" localSheetId="4">'VIGILANTE 12X36 DIU'!$F$33</definedName>
    <definedName name="AL_2_1_A_DEC_TERC_12X36_DIU">'SUPERVISOR 12X36 DIU'!$F$33</definedName>
    <definedName name="AL_2_1_A_DEC_TERC_12X36_NOT" localSheetId="5">'VIGILANTE 12x36 - NOT'!$F$33</definedName>
    <definedName name="AL_2_1_A_DEC_TERC_12X36_NOT">'SUPERVISOR 12x36 - NOT'!$F$33</definedName>
    <definedName name="AL_2_1_B_ADIC_FERIAS_12X36_DIU" localSheetId="4">'VIGILANTE 12X36 DIU'!$F$34</definedName>
    <definedName name="AL_2_1_B_ADIC_FERIAS_12X36_DIU">'SUPERVISOR 12X36 DIU'!$F$34</definedName>
    <definedName name="AL_2_1_B_ADIC_FERIAS_12X36_NOT" localSheetId="5">'VIGILANTE 12x36 - NOT'!$F$34</definedName>
    <definedName name="AL_2_1_B_ADIC_FERIAS_12X36_NOT">'SUPERVISOR 12x36 - NOT'!$F$34</definedName>
    <definedName name="AL_2_2_FGTS_12X36_DIU" localSheetId="4">'VIGILANTE 12X36 DIU'!$F$45</definedName>
    <definedName name="AL_2_2_FGTS_12X36_DIU">'SUPERVISOR 12X36 DIU'!$F$45</definedName>
    <definedName name="AL_2_2_FGTS_12X36_NOT" localSheetId="5">'VIGILANTE 12x36 - NOT'!$F$45</definedName>
    <definedName name="AL_2_2_FGTS_12X36_NOT">'SUPERVISOR 12x36 - NOT'!$F$45</definedName>
    <definedName name="AL_2_2_FGTS_44H" localSheetId="7">'VIGILANTE 44 H'!$F$46</definedName>
    <definedName name="AL_2_2_FGTS_44H" localSheetId="6">'VIGILANTE 44 H Ñ LETAL'!$F$46</definedName>
    <definedName name="AL_2_2_FGTS_44H">'SUPERVISOR 44 HORAS'!$F$46</definedName>
    <definedName name="AL_2_3_A_TRANSP_12X36_DIU" localSheetId="4">'VIGILANTE 12X36 DIU'!$F$49</definedName>
    <definedName name="AL_2_3_A_TRANSP_12X36_DIU">'SUPERVISOR 12X36 DIU'!$F$49</definedName>
    <definedName name="AL_2_3_A_TRANSP_12X36_NOT" localSheetId="5">'VIGILANTE 12x36 - NOT'!$F$49</definedName>
    <definedName name="AL_2_3_A_TRANSP_12X36_NOT">'SUPERVISOR 12x36 - NOT'!$F$49</definedName>
    <definedName name="AL_2_3_A_TRANSP_44H" localSheetId="7">'VIGILANTE 44 H'!$F$50</definedName>
    <definedName name="AL_2_3_A_TRANSP_44H" localSheetId="6">'VIGILANTE 44 H Ñ LETAL'!$F$50</definedName>
    <definedName name="AL_2_3_A_TRANSP_44H">'SUPERVISOR 44 HORAS'!$F$50</definedName>
    <definedName name="AL_2_3_B_AUX_ALIMENT_12X36_DIU" localSheetId="4">'VIGILANTE 12X36 DIU'!$F$50</definedName>
    <definedName name="AL_2_3_B_AUX_ALIMENT_12X36_DIU">'SUPERVISOR 12X36 DIU'!$F$50</definedName>
    <definedName name="AL_2_3_B_AUX_ALIMENT_12X36_NOT" localSheetId="5">'VIGILANTE 12x36 - NOT'!$F$50</definedName>
    <definedName name="AL_2_3_B_AUX_ALIMENT_12X36_NOT">'SUPERVISOR 12x36 - NOT'!$F$50</definedName>
    <definedName name="AL_2_3_B_AUX_ALIMENT_44H" localSheetId="7">'VIGILANTE 44 H'!$F$51</definedName>
    <definedName name="AL_2_3_B_AUX_ALIMENT_44H" localSheetId="6">'VIGILANTE 44 H Ñ LETAL'!$F$51</definedName>
    <definedName name="AL_2_3_B_AUX_ALIMENT_44H">'SUPERVISOR 44 HORAS'!$F$51</definedName>
    <definedName name="AL_2_3_C_OUTROS_BENEF_12X36_DIU" localSheetId="4">'VIGILANTE 12X36 DIU'!$F$53</definedName>
    <definedName name="AL_2_3_C_OUTROS_BENEF_12X36_DIU">'SUPERVISOR 12X36 DIU'!$F$53</definedName>
    <definedName name="AL_2_3_C_OUTROS_BENEF_12X36_NOT" localSheetId="5">'VIGILANTE 12x36 - NOT'!#REF!</definedName>
    <definedName name="AL_2_3_C_OUTROS_BENEF_12X36_NOT">'SUPERVISOR 12x36 - NOT'!#REF!</definedName>
    <definedName name="AL_2_A_ATE_2_G_GPS_12X36_NOT" localSheetId="5">'VIGILANTE 12x36 - NOT'!$F$38:$F$44</definedName>
    <definedName name="AL_2_A_ATE_2_G_GPS_12X36_NOT">'SUPERVISOR 12x36 - NOT'!$F$38:$F$44</definedName>
    <definedName name="AL_6_A_CUSTOS_INDIRETOS_12X36_DIU" localSheetId="4">'VIGILANTE 12X36 DIU'!$F$87</definedName>
    <definedName name="AL_6_A_CUSTOS_INDIRETOS_12X36_DIU">'SUPERVISOR 12X36 DIU'!$F$87</definedName>
    <definedName name="AL_6_A_CUSTOS_INDIRETOS_12X36_NOT" localSheetId="5">'VIGILANTE 12x36 - NOT'!$F$87</definedName>
    <definedName name="AL_6_A_CUSTOS_INDIRETOS_12X36_NOT">'SUPERVISOR 12x36 - NOT'!$F$87</definedName>
    <definedName name="AL_6_A_CUSTOS_INDIRETOS_44H" localSheetId="7">'VIGILANTE 44 H'!$F$90</definedName>
    <definedName name="AL_6_A_CUSTOS_INDIRETOS_44H" localSheetId="6">'VIGILANTE 44 H Ñ LETAL'!$F$90</definedName>
    <definedName name="AL_6_A_CUSTOS_INDIRETOS_44H">'SUPERVISOR 44 HORAS'!$F$90</definedName>
    <definedName name="AL_6_B_LUCRO_12X36_DIU" localSheetId="4">'VIGILANTE 12X36 DIU'!$F$88</definedName>
    <definedName name="AL_6_B_LUCRO_12X36_DIU">'SUPERVISOR 12X36 DIU'!$F$88</definedName>
    <definedName name="AL_6_B_LUCRO_12X36_NOT" localSheetId="5">'VIGILANTE 12x36 - NOT'!$F$88</definedName>
    <definedName name="AL_6_B_LUCRO_12X36_NOT">'SUPERVISOR 12x36 - NOT'!$F$88</definedName>
    <definedName name="AL_6_B_LUCRO_44H" localSheetId="7">'VIGILANTE 44 H'!$F$91</definedName>
    <definedName name="AL_6_B_LUCRO_44H" localSheetId="6">'VIGILANTE 44 H Ñ LETAL'!$F$91</definedName>
    <definedName name="AL_6_B_LUCRO_44H">'SUPERVISOR 44 HORAS'!$F$91</definedName>
    <definedName name="AL_6_C_1_PIS_12X36_DIU" localSheetId="4">'VIGILANTE 12X36 DIU'!$F$90</definedName>
    <definedName name="AL_6_C_1_PIS_12X36_DIU">'SUPERVISOR 12X36 DIU'!$F$90</definedName>
    <definedName name="AL_6_C_1_PIS_12X36_NOT" localSheetId="5">'VIGILANTE 12x36 - NOT'!$F$90</definedName>
    <definedName name="AL_6_C_1_PIS_12X36_NOT">'SUPERVISOR 12x36 - NOT'!$F$90</definedName>
    <definedName name="AL_6_C_1_PIS_44H" localSheetId="7">'VIGILANTE 44 H'!$F$93</definedName>
    <definedName name="AL_6_C_1_PIS_44H" localSheetId="6">'VIGILANTE 44 H Ñ LETAL'!$F$93</definedName>
    <definedName name="AL_6_C_1_PIS_44H">'SUPERVISOR 44 HORAS'!$F$93</definedName>
    <definedName name="AL_6_C_2_COFINS_12X36_DIU" localSheetId="4">'VIGILANTE 12X36 DIU'!$F$91</definedName>
    <definedName name="AL_6_C_2_COFINS_12X36_DIU">'SUPERVISOR 12X36 DIU'!$F$91</definedName>
    <definedName name="AL_6_C_2_COFINS_12X36_NOT" localSheetId="5">'VIGILANTE 12x36 - NOT'!$F$91</definedName>
    <definedName name="AL_6_C_2_COFINS_12X36_NOT">'SUPERVISOR 12x36 - NOT'!$F$91</definedName>
    <definedName name="AL_6_C_2_COFINS_44H" localSheetId="7">'VIGILANTE 44 H'!$F$94</definedName>
    <definedName name="AL_6_C_2_COFINS_44H" localSheetId="6">'VIGILANTE 44 H Ñ LETAL'!$F$94</definedName>
    <definedName name="AL_6_C_2_COFINS_44H">'SUPERVISOR 44 HORAS'!$F$94</definedName>
    <definedName name="AL_6_C_3_ISS_12X36_DIU" localSheetId="4">'VIGILANTE 12X36 DIU'!$F$92</definedName>
    <definedName name="AL_6_C_3_ISS_12X36_DIU">'SUPERVISOR 12X36 DIU'!$F$92</definedName>
    <definedName name="AL_6_C_3_ISS_12X36_NOT" localSheetId="5">'VIGILANTE 12x36 - NOT'!$F$92</definedName>
    <definedName name="AL_6_C_3_ISS_12X36_NOT">'SUPERVISOR 12x36 - NOT'!$F$92</definedName>
    <definedName name="AL_6_C_3_ISS_44H" localSheetId="7">'VIGILANTE 44 H'!$F$95</definedName>
    <definedName name="AL_6_C_3_ISS_44H" localSheetId="6">'VIGILANTE 44 H Ñ LETAL'!$F$95</definedName>
    <definedName name="AL_6_C_3_ISS_44H">'SUPERVISOR 44 HORAS'!$F$95</definedName>
    <definedName name="AL_6_C_TRIBUTOS_12X36_DIU" localSheetId="4">'VIGILANTE 12X36 DIU'!$F$89</definedName>
    <definedName name="AL_6_C_TRIBUTOS_12X36_DIU">'SUPERVISOR 12X36 DIU'!$F$89</definedName>
    <definedName name="AL_6_C_TRIBUTOS_12X36_NOT" localSheetId="5">'VIGILANTE 12x36 - NOT'!$F$89</definedName>
    <definedName name="AL_6_C_TRIBUTOS_12X36_NOT">'SUPERVISOR 12x36 - NOT'!$F$89</definedName>
    <definedName name="AL_6_C_TRIBUTOS_44H" localSheetId="7">'VIGILANTE 44 H'!$F$92</definedName>
    <definedName name="AL_6_C_TRIBUTOS_44H" localSheetId="6">'VIGILANTE 44 H Ñ LETAL'!$F$92</definedName>
    <definedName name="AL_6_C_TRIBUTOS_44H">'SUPERVISOR 44 HORAS'!$F$92</definedName>
    <definedName name="ALIMENTACAO_POR_DIA">'INSERÇÃO-DE-DADOS'!$F$49</definedName>
    <definedName name="ASSIST_ODONTO">'INSERÇÃO-DE-DADOS'!$E$87</definedName>
    <definedName name="AUXILIO_SAUDE">'INSERÇÃO-DE-DADOS'!$E$85</definedName>
    <definedName name="CATEGORIA_PROFISSIONAL">'INSERÇÃO-DE-DADOS'!$D$31</definedName>
    <definedName name="CBO_SUPER">'INSERÇÃO-DE-DADOS'!$F$29</definedName>
    <definedName name="CBO_VIGI">'INSERÇÃO-DE-DADOS'!$F$30</definedName>
    <definedName name="DATA_APRESENTACAO_PROPOSTA">'INSERÇÃO-DE-DADOS'!$F$11</definedName>
    <definedName name="DATA_BASE_CATEGORIA">'INSERÇÃO-DE-DADOS'!$F$32</definedName>
    <definedName name="DATA_DO_ORCAMENTO_ESTIMATIVO">'INSERÇÃO-DE-DADOS'!$F$2</definedName>
    <definedName name="DATA_LICITACAO">'INSERÇÃO-DE-DADOS'!$D$8</definedName>
    <definedName name="DIAS_AUSENCIAS_LEGAIS">'DADOS-ESTATISTICOS'!$F$29</definedName>
    <definedName name="DIAS_LICENCA_MATERNIDADE">'DADOS-ESTATISTICOS'!$F$35</definedName>
    <definedName name="DIAS_LICENCA_PATERNIDADE">'DADOS-ESTATISTICOS'!$F$30</definedName>
    <definedName name="DIAS_NA_SEMANA">'DADOS-ESTATISTICOS'!$F$5</definedName>
    <definedName name="DIAS_NO_ANO">'DADOS-ESTATISTICOS'!$F$6</definedName>
    <definedName name="DIAS_NO_MES">'DADOS-ESTATISTICOS'!$F$24</definedName>
    <definedName name="DIAS_PAGOS_EMPRESA_ACID_TRAB">'DADOS-ESTATISTICOS'!$F$34</definedName>
    <definedName name="DIAS_TRABALHADOS_NO_MES_12X36">'DADOS-ESTATISTICOS'!$F$15</definedName>
    <definedName name="DIAS_UTEIS_TRABALHADOS_NO_MES_44HORAS">'DADOS-ESTATISTICOS'!$F$16</definedName>
    <definedName name="DIVISOR_DE_HORAS">'DADOS-ESTATISTICOS'!$F$4</definedName>
    <definedName name="EMPREG_POR_POSTO_12X36_DIU" localSheetId="4">'VIGILANTE 12X36 DIU'!$F$21</definedName>
    <definedName name="EMPREG_POR_POSTO_12X36_DIU">'SUPERVISOR 12X36 DIU'!$F$21</definedName>
    <definedName name="EMPREG_POR_POSTO_12X36_NOT" localSheetId="5">'VIGILANTE 12x36 - NOT'!$F$19</definedName>
    <definedName name="EMPREG_POR_POSTO_12X36_NOT">'SUPERVISOR 12x36 - NOT'!$F$19</definedName>
    <definedName name="EMPREG_POR_POSTO_44H" localSheetId="7">'VIGILANTE 44 H'!$F$21</definedName>
    <definedName name="EMPREG_POR_POSTO_44H" localSheetId="6">'VIGILANTE 44 H Ñ LETAL'!$F$21</definedName>
    <definedName name="EMPREG_POR_POSTO_44H">'SUPERVISOR 44 HORAS'!$F$21</definedName>
    <definedName name="EQUIPAMENTOS_12X36DIU">'INSERÇÃO-DE-DADOS'!$F$69</definedName>
    <definedName name="EQUIPAMENTOS_12X36NOT">'INSERÇÃO-DE-DADOS'!$F$70</definedName>
    <definedName name="EQUIPAMENTOS_LETAL44H">'INSERÇÃO-DE-DADOS'!$F$71</definedName>
    <definedName name="EQUIPAMENTOS_ÑLETAL44H">'INSERÇÃO-DE-DADOS'!$F$72</definedName>
    <definedName name="EQUIPAMENTOS_SUPERVISORES">'INSERÇÃO-DE-DADOS'!$F$68</definedName>
    <definedName name="HORA_NORMAL">'DADOS-ESTATISTICOS'!$F$9</definedName>
    <definedName name="HORA_NOTURNA">'DADOS-ESTATISTICOS'!$F$10</definedName>
    <definedName name="HORARIO_LICITACAO">'INSERÇÃO-DE-DADOS'!$F$8</definedName>
    <definedName name="LOCAL_DE_EXECUCAO">'INSERÇÃO-DE-DADOS'!$D$12</definedName>
    <definedName name="MATERIAIS">'INSERÇÃO-DE-DADOS'!$F$67</definedName>
    <definedName name="MEDIA_ANUAL_DIAS_TRABALHO_MES">'DADOS-ESTATISTICOS'!$F$7</definedName>
    <definedName name="MESES_NO_ANO">'DADOS-ESTATISTICOS'!$F$8</definedName>
    <definedName name="MOD_1_REMUNERACAO_12X36_DIU" localSheetId="4">'VIGILANTE 12X36 DIU'!$F$29</definedName>
    <definedName name="MOD_1_REMUNERACAO_12X36_DIU">'SUPERVISOR 12X36 DIU'!$F$29</definedName>
    <definedName name="MOD_1_REMUNERACAO_12X36_NOT" localSheetId="5">'VIGILANTE 12x36 - NOT'!$F$29</definedName>
    <definedName name="MOD_1_REMUNERACAO_12X36_NOT">'SUPERVISOR 12x36 - NOT'!$F$29</definedName>
    <definedName name="MOD_1_REMUNERACAO_44H" localSheetId="7">'VIGILANTE 44 H'!$F$29</definedName>
    <definedName name="MOD_1_REMUNERACAO_44H" localSheetId="6">'VIGILANTE 44 H Ñ LETAL'!$F$29</definedName>
    <definedName name="MOD_1_REMUNERACAO_44H">'SUPERVISOR 44 HORAS'!$F$29</definedName>
    <definedName name="MOD_2_ENCARGOS_BENEFICIOS_12X36_DIU" localSheetId="4">'VIGILANTE 12X36 DIU'!$F$35+'VIGILANTE 12X36 DIU'!$F$46+'VIGILANTE 12X36 DIU'!$F$54</definedName>
    <definedName name="MOD_2_ENCARGOS_BENEFICIOS_12X36_DIU">'SUPERVISOR 12X36 DIU'!$F$35+'SUPERVISOR 12X36 DIU'!$F$46+'SUPERVISOR 12X36 DIU'!$F$54</definedName>
    <definedName name="MOD_2_ENCARGOS_BENEFICIOS_12X36_NOT" localSheetId="5">'VIGILANTE 12x36 - NOT'!$F$35+'VIGILANTE 12x36 - NOT'!$F$46+'VIGILANTE 12x36 - NOT'!$F$54</definedName>
    <definedName name="MOD_2_ENCARGOS_BENEFICIOS_12X36_NOT">'SUPERVISOR 12x36 - NOT'!$F$35+'SUPERVISOR 12x36 - NOT'!$F$46+'SUPERVISOR 12x36 - NOT'!$F$54</definedName>
    <definedName name="MOD_2_ENCARGOS_BENEFICIOS_44H" localSheetId="7">'VIGILANTE 44 H'!$F$36+'VIGILANTE 44 H'!$F$47+'VIGILANTE 44 H'!$F$55</definedName>
    <definedName name="MOD_2_ENCARGOS_BENEFICIOS_44H" localSheetId="6">'VIGILANTE 44 H Ñ LETAL'!$F$36+'VIGILANTE 44 H Ñ LETAL'!$F$47+'VIGILANTE 44 H Ñ LETAL'!$F$55</definedName>
    <definedName name="MOD_2_ENCARGOS_BENEFICIOS_44H">'SUPERVISOR 44 HORAS'!$F$36+'SUPERVISOR 44 HORAS'!$F$47+'SUPERVISOR 44 HORAS'!$F$55</definedName>
    <definedName name="MOD_3_PROVISAO_RESCISAO_12X36_DIU" localSheetId="4">'VIGILANTE 12X36 DIU'!$F$60</definedName>
    <definedName name="MOD_3_PROVISAO_RESCISAO_12X36_DIU">'SUPERVISOR 12X36 DIU'!$F$60</definedName>
    <definedName name="MOD_3_PROVISAO_RESCISAO_12X36_NOT" localSheetId="5">'VIGILANTE 12x36 - NOT'!$F$60</definedName>
    <definedName name="MOD_3_PROVISAO_RESCISAO_12X36_NOT">'SUPERVISOR 12x36 - NOT'!$F$60</definedName>
    <definedName name="MOD_3_PROVISAO_RESCISAO_44H" localSheetId="7">'VIGILANTE 44 H'!$F$62</definedName>
    <definedName name="MOD_3_PROVISAO_RESCISAO_44H" localSheetId="6">'VIGILANTE 44 H Ñ LETAL'!$F$62</definedName>
    <definedName name="MOD_3_PROVISAO_RESCISAO_44H">'SUPERVISOR 44 HORAS'!$F$62</definedName>
    <definedName name="MOD_4_CUSTO_REPOSICAO_12X36_DIU" localSheetId="4">'VIGILANTE 12X36 DIU'!$F$71+'VIGILANTE 12X36 DIU'!$F$75</definedName>
    <definedName name="MOD_4_CUSTO_REPOSICAO_12X36_DIU">'SUPERVISOR 12X36 DIU'!$F$71+'SUPERVISOR 12X36 DIU'!$F$75</definedName>
    <definedName name="MOD_4_CUSTO_REPOSICAO_12X36_NOT" localSheetId="5">'VIGILANTE 12x36 - NOT'!$F$71+'VIGILANTE 12x36 - NOT'!$F$75</definedName>
    <definedName name="MOD_4_CUSTO_REPOSICAO_12X36_NOT">'SUPERVISOR 12x36 - NOT'!$F$71+'SUPERVISOR 12x36 - NOT'!$F$75</definedName>
    <definedName name="MOD_4_CUSTO_REPOSICAO_44H" localSheetId="7">'VIGILANTE 44 H'!$F$73+'VIGILANTE 44 H'!$F$78</definedName>
    <definedName name="MOD_4_CUSTO_REPOSICAO_44H" localSheetId="6">'VIGILANTE 44 H Ñ LETAL'!$F$73+'VIGILANTE 44 H Ñ LETAL'!$F$78</definedName>
    <definedName name="MOD_4_CUSTO_REPOSICAO_44H">'SUPERVISOR 44 HORAS'!$F$73+'SUPERVISOR 44 HORAS'!$F$78</definedName>
    <definedName name="MOD_5_INSUMOS_12X36_DIU" localSheetId="4">'VIGILANTE 12X36 DIU'!$F$83</definedName>
    <definedName name="MOD_5_INSUMOS_12X36_DIU">'SUPERVISOR 12X36 DIU'!$F$83</definedName>
    <definedName name="MOD_5_INSUMOS_12X36_NOT" localSheetId="5">'VIGILANTE 12x36 - NOT'!$F$83</definedName>
    <definedName name="MOD_5_INSUMOS_12X36_NOT">'SUPERVISOR 12x36 - NOT'!$F$83</definedName>
    <definedName name="MOD_5_INSUMOS_44H" localSheetId="7">'VIGILANTE 44 H'!$F$86</definedName>
    <definedName name="MOD_5_INSUMOS_44H" localSheetId="6">'VIGILANTE 44 H Ñ LETAL'!$F$86</definedName>
    <definedName name="MOD_5_INSUMOS_44H">'SUPERVISOR 44 HORAS'!$F$86</definedName>
    <definedName name="MOD_6_CUSTOS_IND_LUCRO_TRIB_12X36_DIU" localSheetId="4">'VIGILANTE 12X36 DIU'!$F$93</definedName>
    <definedName name="MOD_6_CUSTOS_IND_LUCRO_TRIB_12X36_DIU">'SUPERVISOR 12X36 DIU'!$F$93</definedName>
    <definedName name="MOD_6_CUSTOS_IND_LUCRO_TRIB_12X36_NOT" localSheetId="5">'VIGILANTE 12x36 - NOT'!$F$93</definedName>
    <definedName name="MOD_6_CUSTOS_IND_LUCRO_TRIB_12X36_NOT">'SUPERVISOR 12x36 - NOT'!$F$93</definedName>
    <definedName name="MOD_6_CUSTOS_IND_LUCRO_TRIB_44H" localSheetId="7">'VIGILANTE 44 H'!$F$96</definedName>
    <definedName name="MOD_6_CUSTOS_IND_LUCRO_TRIB_44H" localSheetId="6">'VIGILANTE 44 H Ñ LETAL'!$F$96</definedName>
    <definedName name="MOD_6_CUSTOS_IND_LUCRO_TRIB_44H">'SUPERVISOR 44 HORAS'!$F$96</definedName>
    <definedName name="MODALIDADE_DE_LICITACAO">'INSERÇÃO-DE-DADOS'!$D$7</definedName>
    <definedName name="NUMERO_MESES_EXEC_CONTRATUAL">'INSERÇÃO-DE-DADOS'!$F$15</definedName>
    <definedName name="NUMERO_PREGAO">'INSERÇÃO-DE-DADOS'!$F$7</definedName>
    <definedName name="NUMERO_PROCESSO">'INSERÇÃO-DE-DADOS'!$D$6</definedName>
    <definedName name="OUTRAS_AUSENCIAS">'ENCARGOS-SOCIAIS-E-TRABALHISTAS'!$E$31</definedName>
    <definedName name="OUTRAS_AUSENCIAS_DESCRICAO">'INSERÇÃO-DE-DADOS'!$C$57</definedName>
    <definedName name="OUTROS_BENEFICIOS_1">'INSERÇÃO-DE-DADOS'!$F$50</definedName>
    <definedName name="OUTROS_BENEFICIOS_1_DESCRICAO">'INSERÇÃO-DE-DADOS'!$C$50</definedName>
    <definedName name="OUTROS_BENEFICIOS_2">'INSERÇÃO-DE-DADOS'!$F$51</definedName>
    <definedName name="OUTROS_BENEFICIOS_2_DESCRICAO">'INSERÇÃO-DE-DADOS'!$C$51</definedName>
    <definedName name="OUTROS_BENEFICIOS_3">'INSERÇÃO-DE-DADOS'!$F$52</definedName>
    <definedName name="OUTROS_BENEFICIOS_3_DESCRICAO">'INSERÇÃO-DE-DADOS'!$C$52</definedName>
    <definedName name="OUTROS_INSUMOS">'INSERÇÃO-DE-DADOS'!$F$73</definedName>
    <definedName name="OUTROS_INSUMOS_DESCRICAO">'INSERÇÃO-DE-DADOS'!$C$73</definedName>
    <definedName name="OUTROS_REMUNERACAO_1">'INSERÇÃO-DE-DADOS'!$F$42</definedName>
    <definedName name="OUTROS_REMUNERACAO_1_DESCRICAO">'INSERÇÃO-DE-DADOS'!$C$42:$E$42</definedName>
    <definedName name="OUTROS_REMUNERACAO_2">'INSERÇÃO-DE-DADOS'!$F$43</definedName>
    <definedName name="OUTROS_REMUNERACAO_2_DESCRICAO">'INSERÇÃO-DE-DADOS'!$C$43:$E$43</definedName>
    <definedName name="OUTROS_REMUNERACAO_3">'INSERÇÃO-DE-DADOS'!$F$44</definedName>
    <definedName name="OUTROS_REMUNERACAO_3_DESCRICAO">'INSERÇÃO-DE-DADOS'!$C$44:$E$44</definedName>
    <definedName name="PERC_ADIC_FERIAS">'ENCARGOS-SOCIAIS-E-TRABALHISTAS'!$E$6</definedName>
    <definedName name="PERC_ADIC_NOT">'INSERÇÃO-DE-DADOS'!$F$41</definedName>
    <definedName name="PERC_ADIC_PERIC">'INSERÇÃO-DE-DADOS'!$F$40</definedName>
    <definedName name="PERC_AVISO_PREVIO_IND">'ENCARGOS-SOCIAIS-E-TRABALHISTAS'!$E$20</definedName>
    <definedName name="PERC_AVISO_PREVIO_TRAB">'ENCARGOS-SOCIAIS-E-TRABALHISTAS'!$E$21</definedName>
    <definedName name="PERC_COFINS">'INSERÇÃO-DE-DADOS'!$F$80</definedName>
    <definedName name="PERC_CONTRIB_SOCIAL">'DADOS-ESTATISTICOS'!#REF!</definedName>
    <definedName name="PERC_CUSTOS_INDIRETOS">'INSERÇÃO-DE-DADOS'!$F$77</definedName>
    <definedName name="PERC_DEC_TERC">'ENCARGOS-SOCIAIS-E-TRABALHISTAS'!$E$5</definedName>
    <definedName name="PERC_DESC_TRANSP_REMUNERACAO">'DADOS-ESTATISTICOS'!$F$14</definedName>
    <definedName name="PERC_EMPREG_AFAST_TRAB">'DADOS-ESTATISTICOS'!$F$33</definedName>
    <definedName name="PERC_EMPREG_AVISO_PREVIO_IND">'DADOS-ESTATISTICOS'!$F$21</definedName>
    <definedName name="PERC_EMPREG_AVISO_PREVIO_TRAB">'DADOS-ESTATISTICOS'!$F$23</definedName>
    <definedName name="PERC_EMPREG_DEMIT_SEM_JUSTA_CAUSA_TOTAL_DESLIG">'DADOS-ESTATISTICOS'!$F$20</definedName>
    <definedName name="PERC_FGTS">'ENCARGOS-SOCIAIS-E-TRABALHISTAS'!$E$16</definedName>
    <definedName name="PERC_FGTS_AVISO_PREV_IND">'ENCARGOS-SOCIAIS-E-TRABALHISTAS'!#REF!</definedName>
    <definedName name="PERC_GPS_FGTS">'ENCARGOS-SOCIAIS-E-TRABALHISTAS'!$E$17</definedName>
    <definedName name="PERC_GPS_FGTS_AVISO_PREVIO_TRAB">'ENCARGOS-SOCIAIS-E-TRABALHISTAS'!#REF!</definedName>
    <definedName name="PERC_HORA_EXTRA">'INSERÇÃO-DE-DADOS'!$F$61</definedName>
    <definedName name="PERC_INCRA">'ENCARGOS-SOCIAIS-E-TRABALHISTAS'!$E$15</definedName>
    <definedName name="PERC_INSS">'ENCARGOS-SOCIAIS-E-TRABALHISTAS'!$E$9</definedName>
    <definedName name="PERC_ISS">'INSERÇÃO-DE-DADOS'!$F$81</definedName>
    <definedName name="PERC_LUCRO">'INSERÇÃO-DE-DADOS'!$F$78</definedName>
    <definedName name="PERC_MOD_3_PROVISAO_RESCISAO" localSheetId="5">'VIGILANTE 12x36 - NOT'!$E$60</definedName>
    <definedName name="PERC_MOD_3_PROVISAO_RESCISAO">'SUPERVISOR 12x36 - NOT'!$E$60</definedName>
    <definedName name="PERC_MULTA_FGTS">'DADOS-ESTATISTICOS'!$F$22</definedName>
    <definedName name="PERC_MULTA_FGTS_AV_PREV_IND">'ENCARGOS-SOCIAIS-E-TRABALHISTAS'!#REF!</definedName>
    <definedName name="PERC_MULTA_FGTS_AV_PREV_TRAB">'ENCARGOS-SOCIAIS-E-TRABALHISTAS'!$E$22</definedName>
    <definedName name="PERC_NASCIDOS_VIVOS_POPUL_FEM">'DADOS-ESTATISTICOS'!$F$31</definedName>
    <definedName name="PERC_PARTIC_FEM_VIGIL">'DADOS-ESTATISTICOS'!$F$36</definedName>
    <definedName name="PERC_PARTIC_MASC_VIGIL">'DADOS-ESTATISTICOS'!$F$32</definedName>
    <definedName name="PERC_PIS">'INSERÇÃO-DE-DADOS'!$F$79</definedName>
    <definedName name="PERC_RAT">'ENCARGOS-SOCIAIS-E-TRABALHISTAS'!$E$11</definedName>
    <definedName name="PERC_SAL_EDUCACAO">'ENCARGOS-SOCIAIS-E-TRABALHISTAS'!$E$10</definedName>
    <definedName name="PERC_SEBRAE">'ENCARGOS-SOCIAIS-E-TRABALHISTAS'!$E$14</definedName>
    <definedName name="PERC_SENAC">'ENCARGOS-SOCIAIS-E-TRABALHISTAS'!$E$13</definedName>
    <definedName name="PERC_SESC">'ENCARGOS-SOCIAIS-E-TRABALHISTAS'!$E$12</definedName>
    <definedName name="PERC_SUBSTITUTO_ACID_TRAB">'ENCARGOS-SOCIAIS-E-TRABALHISTAS'!$E$29</definedName>
    <definedName name="PERC_SUBSTITUTO_AFAST_MATERN">'ENCARGOS-SOCIAIS-E-TRABALHISTAS'!$E$30</definedName>
    <definedName name="PERC_SUBSTITUTO_AUSENCIAS_LEGAIS">'ENCARGOS-SOCIAIS-E-TRABALHISTAS'!$E$27</definedName>
    <definedName name="PERC_SUBSTITUTO_FERIAS">'ENCARGOS-SOCIAIS-E-TRABALHISTAS'!$E$26</definedName>
    <definedName name="PERC_SUBSTITUTO_LICENCA_PATERNIDADE">'ENCARGOS-SOCIAIS-E-TRABALHISTAS'!$E$28</definedName>
    <definedName name="PERC_SUBSTITUTO_OUTRAS_AUSENCIAS">'INSERÇÃO-DE-DADOS'!$F$57</definedName>
    <definedName name="PERC_TRIBUTOS" localSheetId="5">'VIGILANTE 12x36 - NOT'!$E$89</definedName>
    <definedName name="PERC_TRIBUTOS">'SUPERVISOR 12x36 - NOT'!$E$89</definedName>
    <definedName name="POSTO_12X36_DIU">'INSERÇÃO-DE-DADOS'!$C$19</definedName>
    <definedName name="POSTO_12X36_NOT">'INSERÇÃO-DE-DADOS'!$C$20</definedName>
    <definedName name="POSTO_44H">'INSERÇÃO-DE-DADOS'!$C$21</definedName>
    <definedName name="QTDD_FUNCIONARIOS">UNIFORMES!$J$78</definedName>
    <definedName name="QTDE_DE_POSTOS_12X36_SUP_DIU">'INSERÇÃO-DE-DADOS'!$F$20</definedName>
    <definedName name="QTDE_DE_POSTOS_12X36_SUP_NOT">'INSERÇÃO-DE-DADOS'!$F$21</definedName>
    <definedName name="QTDE_DE_POSTOS_12X36_VIG_DIU">'INSERÇÃO-DE-DADOS'!$F$22</definedName>
    <definedName name="QTDE_DE_POSTOS_12X36_VIG_NOT">'INSERÇÃO-DE-DADOS'!$F$23</definedName>
    <definedName name="QTDE_DE_POSTOS_SUP_DIU_44">'INSERÇÃO-DE-DADOS'!$F$19</definedName>
    <definedName name="QTDE_DE_POSTOS_VIG_44">'INSERÇÃO-DE-DADOS'!$F$24</definedName>
    <definedName name="QTDE_DE_POSTOS_VIG_44_ÑLETAL">'INSERÇÃO-DE-DADOS'!$F$25</definedName>
    <definedName name="RAMO">'INSERÇÃO-DE-DADOS'!$B$1</definedName>
    <definedName name="SALARIO_BASE_SUPER">'INSERÇÃO-DE-DADOS'!$F$38</definedName>
    <definedName name="SALARIO_BASE_VIGI">'INSERÇÃO-DE-DADOS'!$F$39</definedName>
    <definedName name="SEGURO_VIDA">'INSERÇÃO-DE-DADOS'!$E$86</definedName>
    <definedName name="SUBMOD_2_1_DEC_TERC_ADIC_FERIAS_12X36_DIU" localSheetId="4">'VIGILANTE 12X36 DIU'!$F$35</definedName>
    <definedName name="SUBMOD_2_1_DEC_TERC_ADIC_FERIAS_12X36_DIU">'SUPERVISOR 12X36 DIU'!$F$35</definedName>
    <definedName name="SUBMOD_2_1_DEC_TERC_ADIC_FERIAS_12X36_NOT" localSheetId="5">'VIGILANTE 12x36 - NOT'!$F$35</definedName>
    <definedName name="SUBMOD_2_1_DEC_TERC_ADIC_FERIAS_12X36_NOT">'SUPERVISOR 12x36 - NOT'!$F$35</definedName>
    <definedName name="SUBMOD_2_1_DEC_TERC_ADIC_FERIAS_44H" localSheetId="7">'VIGILANTE 44 H'!$F$36</definedName>
    <definedName name="SUBMOD_2_1_DEC_TERC_ADIC_FERIAS_44H" localSheetId="6">'VIGILANTE 44 H Ñ LETAL'!$F$36</definedName>
    <definedName name="SUBMOD_2_1_DEC_TERC_ADIC_FERIAS_44H">'SUPERVISOR 44 HORAS'!$F$36</definedName>
    <definedName name="SUBMOD_2_2_GPS_FGTS_12X36_DIU" localSheetId="4">'VIGILANTE 12X36 DIU'!$F$46</definedName>
    <definedName name="SUBMOD_2_2_GPS_FGTS_12X36_DIU">'SUPERVISOR 12X36 DIU'!$F$46</definedName>
    <definedName name="SUBMOD_2_2_GPS_FGTS_12X36_NOT" localSheetId="5">'VIGILANTE 12x36 - NOT'!$F$46</definedName>
    <definedName name="SUBMOD_2_2_GPS_FGTS_12X36_NOT">'SUPERVISOR 12x36 - NOT'!$F$46</definedName>
    <definedName name="SUBMOD_2_2_GPS_FGTS_44H" localSheetId="7">'VIGILANTE 44 H'!$F$47</definedName>
    <definedName name="SUBMOD_2_2_GPS_FGTS_44H" localSheetId="6">'VIGILANTE 44 H Ñ LETAL'!$F$47</definedName>
    <definedName name="SUBMOD_2_2_GPS_FGTS_44H">'SUPERVISOR 44 HORAS'!$F$47</definedName>
    <definedName name="SUBMOD_2_3_BENEFICIOS_12X36_DIU" localSheetId="4">'VIGILANTE 12X36 DIU'!$F$54</definedName>
    <definedName name="SUBMOD_2_3_BENEFICIOS_12X36_DIU">'SUPERVISOR 12X36 DIU'!$F$54</definedName>
    <definedName name="SUBMOD_2_3_BENEFICIOS_12X36_NOT" localSheetId="5">'VIGILANTE 12x36 - NOT'!$F$54</definedName>
    <definedName name="SUBMOD_2_3_BENEFICIOS_12X36_NOT">'SUPERVISOR 12x36 - NOT'!$F$54</definedName>
    <definedName name="SUBMOD_2_3_BENEFICIOS_44H" localSheetId="7">'VIGILANTE 44 H'!$F$55</definedName>
    <definedName name="SUBMOD_2_3_BENEFICIOS_44H" localSheetId="6">'VIGILANTE 44 H Ñ LETAL'!$F$55</definedName>
    <definedName name="SUBMOD_2_3_BENEFICIOS_44H">'SUPERVISOR 44 HORAS'!$F$55</definedName>
    <definedName name="SUBMOD_4_1_AUSENCIAS_LEGAIS_44H" localSheetId="7">'VIGILANTE 44 H'!$F$73</definedName>
    <definedName name="SUBMOD_4_1_AUSENCIAS_LEGAIS_44H" localSheetId="6">'VIGILANTE 44 H Ñ LETAL'!$F$73</definedName>
    <definedName name="SUBMOD_4_1_AUSENCIAS_LEGAIS_44H">'SUPERVISOR 44 HORAS'!$F$73</definedName>
    <definedName name="SUBMOD_4_1_SUBSTITUTO_12X36_DIU" localSheetId="4">'VIGILANTE 12X36 DIU'!$F$71</definedName>
    <definedName name="SUBMOD_4_1_SUBSTITUTO_12X36_DIU">'SUPERVISOR 12X36 DIU'!$F$71</definedName>
    <definedName name="SUBMOD_4_1_SUBSTITUTO_12X36_NOT" localSheetId="5">'VIGILANTE 12x36 - NOT'!$F$71</definedName>
    <definedName name="SUBMOD_4_1_SUBSTITUTO_12X36_NOT">'SUPERVISOR 12x36 - NOT'!$F$71</definedName>
    <definedName name="SUBMOD_4_1_SUBSTITUTO_44H" localSheetId="7">'VIGILANTE 44 H'!$F$73</definedName>
    <definedName name="SUBMOD_4_1_SUBSTITUTO_44H" localSheetId="6">'VIGILANTE 44 H Ñ LETAL'!$F$73</definedName>
    <definedName name="SUBMOD_4_1_SUBSTITUTO_44H">'SUPERVISOR 44 HORAS'!$F$73</definedName>
    <definedName name="SUBMOD_4_2_INTRAJORNADA_12X36_DIU" localSheetId="4">'VIGILANTE 12X36 DIU'!$F$75</definedName>
    <definedName name="SUBMOD_4_2_INTRAJORNADA_12X36_DIU">'SUPERVISOR 12X36 DIU'!$F$75</definedName>
    <definedName name="SUBMOD_4_2_INTRAJORNADA_12X36_NOT" localSheetId="5">'VIGILANTE 12x36 - NOT'!$F$75</definedName>
    <definedName name="SUBMOD_4_2_INTRAJORNADA_12X36_NOT">'SUPERVISOR 12x36 - NOT'!$F$75</definedName>
    <definedName name="SUBMOD_4_2_INTRAJORNADA_44H" localSheetId="7">'VIGILANTE 44 H'!$F$78</definedName>
    <definedName name="SUBMOD_4_2_INTRAJORNADA_44H" localSheetId="6">'VIGILANTE 44 H Ñ LETAL'!$F$78</definedName>
    <definedName name="SUBMOD_4_2_INTRAJORNADA_44H">'SUPERVISOR 44 HORAS'!$F$78</definedName>
    <definedName name="SUPERVISOR_12X36_DIU">'[1]INSERÇÃO-DE-DADOS'!$C$20</definedName>
    <definedName name="SUPERVISOR_12X36_NOT">'[1]INSERÇÃO-DE-DADOS'!$C$21</definedName>
    <definedName name="SUPERVISOR_44H">'[1]INSERÇÃO-DE-DADOS'!$C$19</definedName>
    <definedName name="TEMPO_INTERVALO_REFEICAO">'INSERÇÃO-DE-DADOS'!$F$62</definedName>
    <definedName name="TIPO_DE_SERVICO">'INSERÇÃO-DE-DADOS'!$E$28</definedName>
    <definedName name="TRANSPORTE_POR_DIA">'INSERÇÃO-DE-DADOS'!$F$48</definedName>
    <definedName name="UG">'INSERÇÃO-DE-DADOS'!$B$2</definedName>
    <definedName name="UNIFORMES">'INSERÇÃO-DE-DADOS'!$F$66</definedName>
    <definedName name="VALOR_UNIT_SUPER_12X36_DIU">'SUPERVISOR 12X36 DIU'!$F$103</definedName>
    <definedName name="VALOR_UNIT_SUPER_12X36_NOT">'SUPERVISOR 12x36 - NOT'!$F$103</definedName>
    <definedName name="VALOR_UNIT_SUPER_44H">'SUPERVISOR 44 HORAS'!$F$107</definedName>
    <definedName name="VALOR_UNIT_VIG_12X36_DIU">'VIGILANTE 12X36 DIU'!$F$103</definedName>
    <definedName name="VALOR_UNIT_VIG_12X36_NOT">'VIGILANTE 12x36 - NOT'!$F$103</definedName>
    <definedName name="VALOR_UNIT_VIG_44H">'VIGILANTE 44 H'!$F$107</definedName>
    <definedName name="VALOR_UNIT_VIG_44H_ÑLETAL">'VIGILANTE 44 H Ñ LETAL'!$F$107</definedName>
    <definedName name="VIGILANTE_12X36_DIU">'[1]INSERÇÃO-DE-DADOS'!$C$22</definedName>
    <definedName name="VIGILANTE_12X36_NOT">'[1]INSERÇÃO-DE-DADOS'!$C$23</definedName>
    <definedName name="VIGILANTE_44H">'[1]INSERÇÃO-DE-DADOS'!$C$24</definedName>
    <definedName name="VIGILANTE_44H_ÑLETAL">'[1]INSERÇÃO-DE-DADOS'!$C$25</definedName>
  </definedNames>
  <calcPr calcId="191029" fullPrecision="0"/>
  <customWorkbookViews>
    <customWorkbookView name="teste" guid="{E22B0E03-E710-4313-B9E5-0BFE52A7E677}" maximized="1" xWindow="-8" yWindow="-8" windowWidth="1936" windowHeight="1056" tabRatio="899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49" i="17" l="1"/>
  <c r="F25" i="9"/>
  <c r="G42" i="15"/>
  <c r="J42" i="15" s="1"/>
  <c r="G38" i="15"/>
  <c r="J38" i="15" s="1"/>
  <c r="G26" i="15"/>
  <c r="J26" i="15" s="1"/>
  <c r="G22" i="15"/>
  <c r="J22" i="15" s="1"/>
  <c r="J24" i="10"/>
  <c r="I24" i="10"/>
  <c r="H24" i="10"/>
  <c r="G24" i="10"/>
  <c r="F24" i="10"/>
  <c r="E24" i="10"/>
  <c r="D24" i="10"/>
  <c r="J31" i="10"/>
  <c r="I31" i="10"/>
  <c r="H31" i="10"/>
  <c r="G31" i="10"/>
  <c r="F31" i="10"/>
  <c r="E31" i="10"/>
  <c r="D31" i="10"/>
  <c r="J35" i="10"/>
  <c r="J33" i="10"/>
  <c r="I35" i="10"/>
  <c r="H35" i="10"/>
  <c r="G35" i="10"/>
  <c r="I33" i="10"/>
  <c r="H33" i="10"/>
  <c r="G33" i="10"/>
  <c r="E18" i="10"/>
  <c r="E17" i="10"/>
  <c r="E16" i="10"/>
  <c r="E12" i="10"/>
  <c r="E11" i="10"/>
  <c r="E10" i="10"/>
  <c r="E9" i="10"/>
  <c r="E8" i="10"/>
  <c r="E7" i="10"/>
  <c r="E6" i="10"/>
  <c r="D11" i="10"/>
  <c r="D12" i="10"/>
  <c r="D10" i="10"/>
  <c r="D9" i="10"/>
  <c r="D8" i="10"/>
  <c r="D7" i="10"/>
  <c r="D6" i="10"/>
  <c r="J69" i="15"/>
  <c r="J55" i="15"/>
  <c r="J78" i="15" s="1"/>
  <c r="D16" i="10" s="1"/>
  <c r="J47" i="15"/>
  <c r="J32" i="15"/>
  <c r="J16" i="15"/>
  <c r="F12" i="19"/>
  <c r="E95" i="19"/>
  <c r="E94" i="19"/>
  <c r="E93" i="19"/>
  <c r="E91" i="19"/>
  <c r="E90" i="19"/>
  <c r="F85" i="19"/>
  <c r="C85" i="19"/>
  <c r="E72" i="19"/>
  <c r="C72" i="19"/>
  <c r="F54" i="19"/>
  <c r="C54" i="19"/>
  <c r="F53" i="19"/>
  <c r="C53" i="19"/>
  <c r="F52" i="19"/>
  <c r="C52" i="19"/>
  <c r="F51" i="19"/>
  <c r="E35" i="19"/>
  <c r="E34" i="19"/>
  <c r="F28" i="19"/>
  <c r="C28" i="19"/>
  <c r="F27" i="19"/>
  <c r="C27" i="19"/>
  <c r="F26" i="19"/>
  <c r="C26" i="19"/>
  <c r="F25" i="19"/>
  <c r="F24" i="19"/>
  <c r="F18" i="19"/>
  <c r="D17" i="19"/>
  <c r="D16" i="19"/>
  <c r="E15" i="19"/>
  <c r="F11" i="19"/>
  <c r="F10" i="19"/>
  <c r="D9" i="19"/>
  <c r="F8" i="19"/>
  <c r="F6" i="19"/>
  <c r="D6" i="19"/>
  <c r="D5" i="19"/>
  <c r="F2" i="19"/>
  <c r="B2" i="19"/>
  <c r="B1" i="19"/>
  <c r="F25" i="18"/>
  <c r="F24" i="18"/>
  <c r="D16" i="18"/>
  <c r="F12" i="18"/>
  <c r="E95" i="18"/>
  <c r="E94" i="18"/>
  <c r="E93" i="18"/>
  <c r="E91" i="18"/>
  <c r="E90" i="18"/>
  <c r="F85" i="18"/>
  <c r="C85" i="18"/>
  <c r="E72" i="18"/>
  <c r="C72" i="18"/>
  <c r="F54" i="18"/>
  <c r="C54" i="18"/>
  <c r="F53" i="18"/>
  <c r="C53" i="18"/>
  <c r="F52" i="18"/>
  <c r="C52" i="18"/>
  <c r="F51" i="18"/>
  <c r="E35" i="18"/>
  <c r="E34" i="18"/>
  <c r="F28" i="18"/>
  <c r="C28" i="18"/>
  <c r="F27" i="18"/>
  <c r="C27" i="18"/>
  <c r="F26" i="18"/>
  <c r="C26" i="18"/>
  <c r="F18" i="18"/>
  <c r="D17" i="18"/>
  <c r="E15" i="18"/>
  <c r="F11" i="18"/>
  <c r="F10" i="18"/>
  <c r="D9" i="18"/>
  <c r="F8" i="18"/>
  <c r="F6" i="18"/>
  <c r="D6" i="18"/>
  <c r="D5" i="18"/>
  <c r="F2" i="18"/>
  <c r="B2" i="18"/>
  <c r="B1" i="18"/>
  <c r="F28" i="17"/>
  <c r="F27" i="17"/>
  <c r="F26" i="17"/>
  <c r="F23" i="17"/>
  <c r="F22" i="17"/>
  <c r="D15" i="17"/>
  <c r="F12" i="17"/>
  <c r="E92" i="17"/>
  <c r="E91" i="17"/>
  <c r="E90" i="17"/>
  <c r="E88" i="17"/>
  <c r="E87" i="17"/>
  <c r="F82" i="17"/>
  <c r="C82" i="17"/>
  <c r="E70" i="17"/>
  <c r="C70" i="17"/>
  <c r="F53" i="17"/>
  <c r="C53" i="17"/>
  <c r="F52" i="17"/>
  <c r="C52" i="17"/>
  <c r="F51" i="17"/>
  <c r="C51" i="17"/>
  <c r="F50" i="17"/>
  <c r="E45" i="17"/>
  <c r="E44" i="17"/>
  <c r="E43" i="17"/>
  <c r="E42" i="17"/>
  <c r="E41" i="17"/>
  <c r="E40" i="17"/>
  <c r="E39" i="17"/>
  <c r="E38" i="17"/>
  <c r="C28" i="17"/>
  <c r="C27" i="17"/>
  <c r="C26" i="17"/>
  <c r="F17" i="17"/>
  <c r="D16" i="17"/>
  <c r="E14" i="17"/>
  <c r="F11" i="17"/>
  <c r="F10" i="17"/>
  <c r="D9" i="17"/>
  <c r="F8" i="17"/>
  <c r="F6" i="17"/>
  <c r="D6" i="17"/>
  <c r="D5" i="17"/>
  <c r="F2" i="17"/>
  <c r="B2" i="17"/>
  <c r="B1" i="17"/>
  <c r="F28" i="16"/>
  <c r="F27" i="16"/>
  <c r="F26" i="16"/>
  <c r="F25" i="16"/>
  <c r="F24" i="16"/>
  <c r="F49" i="16" s="1"/>
  <c r="F12" i="16"/>
  <c r="D16" i="16"/>
  <c r="E92" i="16"/>
  <c r="E91" i="16"/>
  <c r="E90" i="16"/>
  <c r="E88" i="16"/>
  <c r="E87" i="16"/>
  <c r="F82" i="16"/>
  <c r="C82" i="16"/>
  <c r="E70" i="16"/>
  <c r="C70" i="16"/>
  <c r="F53" i="16"/>
  <c r="C53" i="16"/>
  <c r="F52" i="16"/>
  <c r="C52" i="16"/>
  <c r="F51" i="16"/>
  <c r="C51" i="16"/>
  <c r="F50" i="16"/>
  <c r="E45" i="16"/>
  <c r="E44" i="16"/>
  <c r="E43" i="16"/>
  <c r="E42" i="16"/>
  <c r="E41" i="16"/>
  <c r="E40" i="16"/>
  <c r="E39" i="16"/>
  <c r="E38" i="16"/>
  <c r="C28" i="16"/>
  <c r="C27" i="16"/>
  <c r="C26" i="16"/>
  <c r="F18" i="16"/>
  <c r="D17" i="16"/>
  <c r="E15" i="16"/>
  <c r="F11" i="16"/>
  <c r="F10" i="16"/>
  <c r="D9" i="16"/>
  <c r="F8" i="16"/>
  <c r="F6" i="16"/>
  <c r="D6" i="16"/>
  <c r="D5" i="16"/>
  <c r="F2" i="16"/>
  <c r="B2" i="16"/>
  <c r="B1" i="16"/>
  <c r="F12" i="9"/>
  <c r="F17" i="7"/>
  <c r="D16" i="7"/>
  <c r="D15" i="7"/>
  <c r="F12" i="7"/>
  <c r="F28" i="7"/>
  <c r="F27" i="7"/>
  <c r="F26" i="7"/>
  <c r="F23" i="7"/>
  <c r="G98" i="15"/>
  <c r="H98" i="15" s="1"/>
  <c r="G97" i="15"/>
  <c r="H97" i="15" s="1"/>
  <c r="G96" i="15"/>
  <c r="H96" i="15" s="1"/>
  <c r="G95" i="15"/>
  <c r="H95" i="15" s="1"/>
  <c r="G76" i="15"/>
  <c r="J76" i="15" s="1"/>
  <c r="G75" i="15"/>
  <c r="J75" i="15" s="1"/>
  <c r="J77" i="15" s="1"/>
  <c r="G89" i="15"/>
  <c r="H89" i="15" s="1"/>
  <c r="G88" i="15"/>
  <c r="G87" i="15"/>
  <c r="H87" i="15" s="1"/>
  <c r="G86" i="15"/>
  <c r="H86" i="15" s="1"/>
  <c r="G85" i="15"/>
  <c r="G30" i="15"/>
  <c r="G29" i="15"/>
  <c r="J29" i="15" s="1"/>
  <c r="G28" i="15"/>
  <c r="J28" i="15" s="1"/>
  <c r="G27" i="15"/>
  <c r="J27" i="15" s="1"/>
  <c r="G25" i="15"/>
  <c r="G24" i="15"/>
  <c r="J24" i="15" s="1"/>
  <c r="G23" i="15"/>
  <c r="J23" i="15" s="1"/>
  <c r="G45" i="15"/>
  <c r="J45" i="15" s="1"/>
  <c r="G44" i="15"/>
  <c r="G43" i="15"/>
  <c r="G41" i="15"/>
  <c r="J41" i="15" s="1"/>
  <c r="G40" i="15"/>
  <c r="G39" i="15"/>
  <c r="G53" i="15"/>
  <c r="J53" i="15" s="1"/>
  <c r="G52" i="15"/>
  <c r="J52" i="15" s="1"/>
  <c r="G67" i="15"/>
  <c r="G66" i="15"/>
  <c r="J66" i="15" s="1"/>
  <c r="G65" i="15"/>
  <c r="G64" i="15"/>
  <c r="J64" i="15" s="1"/>
  <c r="G63" i="15"/>
  <c r="J63" i="15" s="1"/>
  <c r="G62" i="15"/>
  <c r="J62" i="15" s="1"/>
  <c r="G61" i="15"/>
  <c r="G60" i="15"/>
  <c r="J60" i="15" s="1"/>
  <c r="J67" i="15"/>
  <c r="J65" i="15"/>
  <c r="J61" i="15"/>
  <c r="J30" i="15"/>
  <c r="J25" i="15"/>
  <c r="H88" i="15"/>
  <c r="H85" i="15"/>
  <c r="G84" i="15"/>
  <c r="H84" i="15" s="1"/>
  <c r="H76" i="15"/>
  <c r="J44" i="15"/>
  <c r="J39" i="15"/>
  <c r="G37" i="15"/>
  <c r="J37" i="15" s="1"/>
  <c r="G21" i="15"/>
  <c r="J21" i="15" s="1"/>
  <c r="G14" i="15"/>
  <c r="J14" i="15" s="1"/>
  <c r="G13" i="15"/>
  <c r="J13" i="15" s="1"/>
  <c r="G12" i="15"/>
  <c r="J12" i="15" s="1"/>
  <c r="G11" i="15"/>
  <c r="J11" i="15" s="1"/>
  <c r="G10" i="15"/>
  <c r="J10" i="15" s="1"/>
  <c r="G9" i="15"/>
  <c r="J9" i="15" s="1"/>
  <c r="G8" i="15"/>
  <c r="J8" i="15" s="1"/>
  <c r="G7" i="15"/>
  <c r="J7" i="15" s="1"/>
  <c r="G6" i="15"/>
  <c r="J6" i="15" s="1"/>
  <c r="G5" i="15"/>
  <c r="J5" i="15" s="1"/>
  <c r="J15" i="15" l="1"/>
  <c r="J17" i="15" s="1"/>
  <c r="F69" i="11" s="1"/>
  <c r="F81" i="16" s="1"/>
  <c r="J31" i="15"/>
  <c r="H99" i="15"/>
  <c r="F16" i="10"/>
  <c r="D17" i="10"/>
  <c r="D18" i="10" s="1"/>
  <c r="E92" i="19"/>
  <c r="F18" i="10"/>
  <c r="F29" i="19"/>
  <c r="J26" i="10" s="1"/>
  <c r="F50" i="19"/>
  <c r="F55" i="19" s="1"/>
  <c r="F17" i="10"/>
  <c r="E13" i="10"/>
  <c r="F25" i="17"/>
  <c r="E92" i="18"/>
  <c r="F29" i="18"/>
  <c r="F54" i="16"/>
  <c r="F24" i="17"/>
  <c r="F50" i="18"/>
  <c r="F55" i="18" s="1"/>
  <c r="E89" i="17"/>
  <c r="E89" i="16"/>
  <c r="F29" i="16"/>
  <c r="J79" i="15"/>
  <c r="F67" i="11" s="1"/>
  <c r="H90" i="15"/>
  <c r="H100" i="15" s="1"/>
  <c r="F66" i="11" s="1"/>
  <c r="J33" i="15"/>
  <c r="F70" i="11" s="1"/>
  <c r="F81" i="17" s="1"/>
  <c r="J54" i="15"/>
  <c r="J56" i="15" s="1"/>
  <c r="F68" i="11" s="1"/>
  <c r="J43" i="15"/>
  <c r="J40" i="15"/>
  <c r="J46" i="15" s="1"/>
  <c r="F41" i="14"/>
  <c r="F40" i="14"/>
  <c r="F82" i="19" l="1"/>
  <c r="F82" i="18"/>
  <c r="F79" i="17"/>
  <c r="F79" i="16"/>
  <c r="F29" i="17"/>
  <c r="H26" i="10" s="1"/>
  <c r="F100" i="19"/>
  <c r="F96" i="16"/>
  <c r="G26" i="10"/>
  <c r="F100" i="18"/>
  <c r="I26" i="10"/>
  <c r="F19" i="10"/>
  <c r="F83" i="18"/>
  <c r="F83" i="19"/>
  <c r="F80" i="17"/>
  <c r="F80" i="16"/>
  <c r="J68" i="15"/>
  <c r="J70" i="15" s="1"/>
  <c r="F72" i="11" s="1"/>
  <c r="F84" i="19" s="1"/>
  <c r="J48" i="15"/>
  <c r="F71" i="11" s="1"/>
  <c r="F84" i="18" s="1"/>
  <c r="F35" i="10"/>
  <c r="E35" i="10"/>
  <c r="D35" i="10"/>
  <c r="F33" i="10"/>
  <c r="E33" i="10"/>
  <c r="D33" i="10"/>
  <c r="F83" i="17" l="1"/>
  <c r="F100" i="17" s="1"/>
  <c r="F83" i="16"/>
  <c r="F100" i="16" s="1"/>
  <c r="F96" i="17"/>
  <c r="F86" i="19"/>
  <c r="F104" i="19" s="1"/>
  <c r="F86" i="18"/>
  <c r="F104" i="18" s="1"/>
  <c r="E21" i="12"/>
  <c r="E20" i="12"/>
  <c r="E60" i="19" l="1"/>
  <c r="E59" i="19"/>
  <c r="E60" i="18"/>
  <c r="E59" i="18"/>
  <c r="E57" i="17"/>
  <c r="E58" i="17"/>
  <c r="E57" i="16"/>
  <c r="E22" i="12"/>
  <c r="E58" i="16"/>
  <c r="F33" i="14"/>
  <c r="E61" i="19" l="1"/>
  <c r="E61" i="18"/>
  <c r="E59" i="17"/>
  <c r="E59" i="16"/>
  <c r="F12" i="2"/>
  <c r="D9" i="2" l="1"/>
  <c r="D9" i="7"/>
  <c r="D9" i="9"/>
  <c r="B1" i="2"/>
  <c r="F2" i="9" l="1"/>
  <c r="F2" i="7"/>
  <c r="F2" i="2"/>
  <c r="E31" i="12" l="1"/>
  <c r="C31" i="12"/>
  <c r="E72" i="9" l="1"/>
  <c r="E70" i="7"/>
  <c r="E70" i="2"/>
  <c r="F28" i="9" l="1"/>
  <c r="C28" i="9"/>
  <c r="F27" i="9"/>
  <c r="C27" i="9"/>
  <c r="F26" i="9"/>
  <c r="C26" i="9"/>
  <c r="F54" i="9"/>
  <c r="C54" i="9"/>
  <c r="F53" i="9"/>
  <c r="C53" i="9"/>
  <c r="F52" i="9"/>
  <c r="C52" i="9"/>
  <c r="F53" i="7"/>
  <c r="C53" i="7"/>
  <c r="F52" i="7"/>
  <c r="C52" i="7"/>
  <c r="F51" i="7"/>
  <c r="C51" i="7"/>
  <c r="C28" i="7"/>
  <c r="C27" i="7"/>
  <c r="C26" i="7"/>
  <c r="F53" i="2"/>
  <c r="F52" i="2"/>
  <c r="C52" i="2"/>
  <c r="C51" i="2"/>
  <c r="F51" i="2"/>
  <c r="F28" i="2"/>
  <c r="C28" i="2"/>
  <c r="C27" i="2"/>
  <c r="F27" i="2"/>
  <c r="D33" i="13" l="1"/>
  <c r="E33" i="13"/>
  <c r="F33" i="13"/>
  <c r="G33" i="13"/>
  <c r="H33" i="13"/>
  <c r="C33" i="13"/>
  <c r="C32" i="13"/>
  <c r="C34" i="13" s="1"/>
  <c r="D32" i="13"/>
  <c r="D34" i="13" s="1"/>
  <c r="E32" i="13"/>
  <c r="E34" i="13" s="1"/>
  <c r="F32" i="13"/>
  <c r="F34" i="13" s="1"/>
  <c r="G32" i="13"/>
  <c r="G34" i="13" s="1"/>
  <c r="H32" i="13"/>
  <c r="H34" i="13" s="1"/>
  <c r="G2" i="13" l="1"/>
  <c r="E2" i="13"/>
  <c r="C2" i="13"/>
  <c r="F2" i="10" l="1"/>
  <c r="B2" i="10"/>
  <c r="B1" i="10"/>
  <c r="F51" i="9"/>
  <c r="F25" i="2"/>
  <c r="F24" i="9"/>
  <c r="F29" i="9" s="1"/>
  <c r="E15" i="9"/>
  <c r="D16" i="9"/>
  <c r="D17" i="9"/>
  <c r="F18" i="9"/>
  <c r="E95" i="9"/>
  <c r="E94" i="9"/>
  <c r="E93" i="9"/>
  <c r="E91" i="9"/>
  <c r="E90" i="9"/>
  <c r="F85" i="9"/>
  <c r="C85" i="9"/>
  <c r="F84" i="9"/>
  <c r="F83" i="9"/>
  <c r="F82" i="9"/>
  <c r="C72" i="9"/>
  <c r="F11" i="9"/>
  <c r="F10" i="9"/>
  <c r="F8" i="9"/>
  <c r="F6" i="9"/>
  <c r="D6" i="9"/>
  <c r="D5" i="9"/>
  <c r="B2" i="9"/>
  <c r="B1" i="9"/>
  <c r="E92" i="2"/>
  <c r="E91" i="2"/>
  <c r="E90" i="2"/>
  <c r="E88" i="2"/>
  <c r="E87" i="2"/>
  <c r="F82" i="2"/>
  <c r="C82" i="2"/>
  <c r="F81" i="2"/>
  <c r="F80" i="2"/>
  <c r="F79" i="2"/>
  <c r="C70" i="2"/>
  <c r="C53" i="2"/>
  <c r="F50" i="2"/>
  <c r="E45" i="2"/>
  <c r="E44" i="2"/>
  <c r="E43" i="2"/>
  <c r="E42" i="2"/>
  <c r="E41" i="2"/>
  <c r="E40" i="2"/>
  <c r="E39" i="2"/>
  <c r="E38" i="2"/>
  <c r="F26" i="2"/>
  <c r="C26" i="2"/>
  <c r="F24" i="2"/>
  <c r="F54" i="17" s="1"/>
  <c r="F18" i="2"/>
  <c r="D17" i="2"/>
  <c r="D16" i="2"/>
  <c r="E15" i="2"/>
  <c r="F11" i="2"/>
  <c r="F10" i="2"/>
  <c r="F8" i="2"/>
  <c r="F6" i="2"/>
  <c r="D6" i="2"/>
  <c r="D5" i="2"/>
  <c r="B2" i="2"/>
  <c r="F82" i="7"/>
  <c r="C82" i="7"/>
  <c r="C70" i="7"/>
  <c r="E45" i="7"/>
  <c r="E44" i="7"/>
  <c r="E43" i="7"/>
  <c r="E42" i="7"/>
  <c r="E41" i="7"/>
  <c r="E40" i="7"/>
  <c r="E39" i="7"/>
  <c r="E38" i="7"/>
  <c r="F50" i="7"/>
  <c r="E34" i="9"/>
  <c r="E35" i="9"/>
  <c r="B1" i="7"/>
  <c r="B2" i="7"/>
  <c r="D5" i="7"/>
  <c r="D6" i="7"/>
  <c r="F6" i="7"/>
  <c r="F8" i="7"/>
  <c r="F10" i="7"/>
  <c r="F11" i="7"/>
  <c r="E14" i="7"/>
  <c r="E87" i="7"/>
  <c r="E88" i="7"/>
  <c r="E90" i="7"/>
  <c r="E91" i="7"/>
  <c r="E92" i="7"/>
  <c r="E5" i="12"/>
  <c r="E6" i="12"/>
  <c r="E26" i="12"/>
  <c r="E27" i="12"/>
  <c r="E28" i="12"/>
  <c r="E29" i="12"/>
  <c r="E79" i="11"/>
  <c r="E80" i="11"/>
  <c r="E81" i="11"/>
  <c r="F34" i="9" l="1"/>
  <c r="F35" i="9"/>
  <c r="F50" i="9"/>
  <c r="E67" i="19"/>
  <c r="E70" i="19"/>
  <c r="E69" i="19"/>
  <c r="F35" i="18"/>
  <c r="F36" i="18" s="1"/>
  <c r="F35" i="19"/>
  <c r="F34" i="18"/>
  <c r="F34" i="19"/>
  <c r="E68" i="19"/>
  <c r="E67" i="18"/>
  <c r="E69" i="18"/>
  <c r="E70" i="18"/>
  <c r="E68" i="18"/>
  <c r="E68" i="17"/>
  <c r="E33" i="17"/>
  <c r="F33" i="17"/>
  <c r="E65" i="17"/>
  <c r="F34" i="17"/>
  <c r="E34" i="17"/>
  <c r="E67" i="17"/>
  <c r="E66" i="17"/>
  <c r="E34" i="7"/>
  <c r="F34" i="16"/>
  <c r="E34" i="16"/>
  <c r="E68" i="16"/>
  <c r="E67" i="16"/>
  <c r="E33" i="7"/>
  <c r="E33" i="16"/>
  <c r="F33" i="16"/>
  <c r="E65" i="16"/>
  <c r="E66" i="16"/>
  <c r="F49" i="7"/>
  <c r="F49" i="2"/>
  <c r="E68" i="7"/>
  <c r="E70" i="9"/>
  <c r="E68" i="2"/>
  <c r="E67" i="7"/>
  <c r="E69" i="9"/>
  <c r="E67" i="2"/>
  <c r="E66" i="2"/>
  <c r="E66" i="7"/>
  <c r="E68" i="9"/>
  <c r="E65" i="2"/>
  <c r="E65" i="7"/>
  <c r="E67" i="9"/>
  <c r="F29" i="2"/>
  <c r="D26" i="10" s="1"/>
  <c r="E33" i="2"/>
  <c r="E34" i="2"/>
  <c r="E89" i="2"/>
  <c r="F83" i="2"/>
  <c r="F100" i="2" s="1"/>
  <c r="E58" i="2"/>
  <c r="E60" i="9"/>
  <c r="E58" i="7"/>
  <c r="E57" i="7"/>
  <c r="E57" i="2"/>
  <c r="E59" i="9"/>
  <c r="E92" i="9"/>
  <c r="F86" i="9"/>
  <c r="F104" i="9" s="1"/>
  <c r="E89" i="7"/>
  <c r="E17" i="12"/>
  <c r="F35" i="17" l="1"/>
  <c r="F55" i="9"/>
  <c r="F26" i="10"/>
  <c r="F39" i="18"/>
  <c r="F46" i="18"/>
  <c r="F43" i="18"/>
  <c r="F61" i="18"/>
  <c r="F36" i="19"/>
  <c r="F42" i="18"/>
  <c r="F40" i="18"/>
  <c r="F41" i="18"/>
  <c r="F44" i="18"/>
  <c r="F59" i="18"/>
  <c r="F45" i="18"/>
  <c r="F43" i="17"/>
  <c r="F40" i="17"/>
  <c r="F44" i="17"/>
  <c r="F38" i="17"/>
  <c r="F41" i="17"/>
  <c r="F45" i="17"/>
  <c r="F57" i="17" s="1"/>
  <c r="F42" i="17"/>
  <c r="F39" i="17"/>
  <c r="F59" i="17"/>
  <c r="F35" i="16"/>
  <c r="F40" i="16" s="1"/>
  <c r="F54" i="2"/>
  <c r="F34" i="2"/>
  <c r="F33" i="2"/>
  <c r="F96" i="2"/>
  <c r="E61" i="9"/>
  <c r="E59" i="7"/>
  <c r="E59" i="2"/>
  <c r="F100" i="9"/>
  <c r="E30" i="12"/>
  <c r="F47" i="18" l="1"/>
  <c r="F39" i="16"/>
  <c r="E71" i="19"/>
  <c r="F40" i="19"/>
  <c r="F41" i="19"/>
  <c r="F46" i="19"/>
  <c r="F59" i="19" s="1"/>
  <c r="F44" i="19"/>
  <c r="F45" i="19"/>
  <c r="F39" i="19"/>
  <c r="F42" i="19"/>
  <c r="F43" i="19"/>
  <c r="F61" i="19"/>
  <c r="E71" i="18"/>
  <c r="F101" i="18"/>
  <c r="F60" i="18"/>
  <c r="F62" i="18" s="1"/>
  <c r="F45" i="16"/>
  <c r="F57" i="16" s="1"/>
  <c r="F42" i="16"/>
  <c r="E69" i="17"/>
  <c r="F43" i="16"/>
  <c r="F46" i="17"/>
  <c r="F41" i="16"/>
  <c r="F38" i="16"/>
  <c r="F59" i="16"/>
  <c r="F44" i="16"/>
  <c r="E69" i="16"/>
  <c r="E71" i="9"/>
  <c r="E69" i="2"/>
  <c r="E69" i="7"/>
  <c r="F35" i="2"/>
  <c r="F36" i="9"/>
  <c r="F46" i="16" l="1"/>
  <c r="F47" i="19"/>
  <c r="F102" i="18"/>
  <c r="F77" i="18"/>
  <c r="F78" i="18" s="1"/>
  <c r="F72" i="18"/>
  <c r="F67" i="18"/>
  <c r="F70" i="18"/>
  <c r="F69" i="18"/>
  <c r="F68" i="18"/>
  <c r="F71" i="18"/>
  <c r="F58" i="17"/>
  <c r="F60" i="17" s="1"/>
  <c r="F97" i="17"/>
  <c r="F97" i="16"/>
  <c r="F58" i="16"/>
  <c r="F60" i="16" s="1"/>
  <c r="F61" i="9"/>
  <c r="F38" i="2"/>
  <c r="F59" i="2"/>
  <c r="F46" i="9"/>
  <c r="F59" i="9" s="1"/>
  <c r="F45" i="9"/>
  <c r="F39" i="9"/>
  <c r="F40" i="9"/>
  <c r="F44" i="9"/>
  <c r="F43" i="9"/>
  <c r="F42" i="9"/>
  <c r="F41" i="9"/>
  <c r="F45" i="2"/>
  <c r="F57" i="2" s="1"/>
  <c r="F40" i="2"/>
  <c r="F43" i="2"/>
  <c r="F44" i="2"/>
  <c r="F42" i="2"/>
  <c r="F39" i="2"/>
  <c r="F41" i="2"/>
  <c r="F101" i="19" l="1"/>
  <c r="F60" i="19"/>
  <c r="F62" i="19" s="1"/>
  <c r="F73" i="18"/>
  <c r="F90" i="18" s="1"/>
  <c r="F98" i="17"/>
  <c r="F74" i="17"/>
  <c r="F75" i="17" s="1"/>
  <c r="F70" i="17"/>
  <c r="F65" i="17"/>
  <c r="F67" i="17"/>
  <c r="F68" i="17"/>
  <c r="F66" i="17"/>
  <c r="F69" i="17"/>
  <c r="F98" i="16"/>
  <c r="F74" i="16"/>
  <c r="F75" i="16" s="1"/>
  <c r="F70" i="16"/>
  <c r="F68" i="16"/>
  <c r="F66" i="16"/>
  <c r="F67" i="16"/>
  <c r="F65" i="16"/>
  <c r="F69" i="16"/>
  <c r="F47" i="9"/>
  <c r="F46" i="2"/>
  <c r="F103" i="18" l="1"/>
  <c r="I25" i="10"/>
  <c r="I27" i="10" s="1"/>
  <c r="F102" i="19"/>
  <c r="F77" i="19"/>
  <c r="F78" i="19" s="1"/>
  <c r="F72" i="19"/>
  <c r="F69" i="19"/>
  <c r="F67" i="19"/>
  <c r="F70" i="19"/>
  <c r="F68" i="19"/>
  <c r="F71" i="19"/>
  <c r="F91" i="18"/>
  <c r="F71" i="17"/>
  <c r="H25" i="10" s="1"/>
  <c r="H27" i="10" s="1"/>
  <c r="F71" i="16"/>
  <c r="F97" i="2"/>
  <c r="F60" i="9"/>
  <c r="F62" i="9" s="1"/>
  <c r="F58" i="2"/>
  <c r="F60" i="2" s="1"/>
  <c r="F69" i="2" s="1"/>
  <c r="F101" i="9"/>
  <c r="F22" i="7"/>
  <c r="F99" i="16" l="1"/>
  <c r="G25" i="10"/>
  <c r="G27" i="10" s="1"/>
  <c r="F73" i="19"/>
  <c r="J25" i="10" s="1"/>
  <c r="J27" i="10" s="1"/>
  <c r="F93" i="18"/>
  <c r="F94" i="18"/>
  <c r="F95" i="18"/>
  <c r="F99" i="17"/>
  <c r="F87" i="17"/>
  <c r="F87" i="16"/>
  <c r="F88" i="16" s="1"/>
  <c r="F25" i="7"/>
  <c r="F24" i="7"/>
  <c r="F67" i="9"/>
  <c r="F77" i="9"/>
  <c r="F78" i="9" s="1"/>
  <c r="F68" i="9"/>
  <c r="F72" i="9"/>
  <c r="F69" i="9"/>
  <c r="F70" i="9"/>
  <c r="F71" i="9"/>
  <c r="F102" i="9"/>
  <c r="F74" i="2"/>
  <c r="F68" i="2"/>
  <c r="F67" i="2"/>
  <c r="F98" i="2"/>
  <c r="F65" i="2"/>
  <c r="F70" i="2"/>
  <c r="F66" i="2"/>
  <c r="F92" i="18" l="1"/>
  <c r="F96" i="18" s="1"/>
  <c r="F105" i="18" s="1"/>
  <c r="F106" i="18" s="1"/>
  <c r="F107" i="18" s="1"/>
  <c r="F103" i="19"/>
  <c r="F90" i="19"/>
  <c r="F88" i="17"/>
  <c r="F92" i="17" s="1"/>
  <c r="F90" i="16"/>
  <c r="F92" i="16"/>
  <c r="F91" i="16"/>
  <c r="F73" i="9"/>
  <c r="F25" i="10" s="1"/>
  <c r="F27" i="10" s="1"/>
  <c r="F29" i="7"/>
  <c r="E26" i="10" s="1"/>
  <c r="F11" i="10" l="1"/>
  <c r="G11" i="10" s="1"/>
  <c r="I32" i="10"/>
  <c r="F89" i="16"/>
  <c r="F93" i="16" s="1"/>
  <c r="F101" i="16" s="1"/>
  <c r="F102" i="16" s="1"/>
  <c r="F103" i="16" s="1"/>
  <c r="F91" i="19"/>
  <c r="F90" i="17"/>
  <c r="F91" i="17"/>
  <c r="F33" i="7"/>
  <c r="F54" i="7"/>
  <c r="F34" i="7"/>
  <c r="F103" i="9"/>
  <c r="F90" i="9"/>
  <c r="F96" i="7"/>
  <c r="I34" i="10" l="1"/>
  <c r="I36" i="10" s="1"/>
  <c r="F9" i="10"/>
  <c r="G9" i="10" s="1"/>
  <c r="G32" i="10"/>
  <c r="F89" i="17"/>
  <c r="F93" i="17" s="1"/>
  <c r="F101" i="17" s="1"/>
  <c r="F102" i="17" s="1"/>
  <c r="F103" i="17" s="1"/>
  <c r="F95" i="19"/>
  <c r="F94" i="19"/>
  <c r="F93" i="19"/>
  <c r="F91" i="9"/>
  <c r="F95" i="9" s="1"/>
  <c r="F35" i="7"/>
  <c r="G34" i="10" l="1"/>
  <c r="G36" i="10" s="1"/>
  <c r="F10" i="10"/>
  <c r="G10" i="10" s="1"/>
  <c r="H32" i="10"/>
  <c r="F92" i="19"/>
  <c r="F96" i="19" s="1"/>
  <c r="F105" i="19" s="1"/>
  <c r="F106" i="19" s="1"/>
  <c r="F107" i="19" s="1"/>
  <c r="F94" i="9"/>
  <c r="F93" i="9"/>
  <c r="F59" i="7"/>
  <c r="F45" i="7"/>
  <c r="F57" i="7" s="1"/>
  <c r="F44" i="7"/>
  <c r="F43" i="7"/>
  <c r="F41" i="7"/>
  <c r="F42" i="7"/>
  <c r="F39" i="7"/>
  <c r="F38" i="7"/>
  <c r="F40" i="7"/>
  <c r="F12" i="10" l="1"/>
  <c r="G12" i="10" s="1"/>
  <c r="J32" i="10"/>
  <c r="H34" i="10"/>
  <c r="H36" i="10" s="1"/>
  <c r="F46" i="7"/>
  <c r="F75" i="2"/>
  <c r="F71" i="2"/>
  <c r="D25" i="10" s="1"/>
  <c r="D27" i="10" s="1"/>
  <c r="J34" i="10" l="1"/>
  <c r="J36" i="10" s="1"/>
  <c r="F97" i="7"/>
  <c r="F58" i="7"/>
  <c r="F60" i="7" s="1"/>
  <c r="F66" i="7" s="1"/>
  <c r="F87" i="2"/>
  <c r="F99" i="2"/>
  <c r="F79" i="7"/>
  <c r="F80" i="7"/>
  <c r="F81" i="7"/>
  <c r="F70" i="7" l="1"/>
  <c r="F68" i="7"/>
  <c r="F65" i="7"/>
  <c r="F98" i="7"/>
  <c r="F74" i="7"/>
  <c r="F75" i="7" s="1"/>
  <c r="F69" i="7"/>
  <c r="F67" i="7"/>
  <c r="F83" i="7"/>
  <c r="F100" i="7" s="1"/>
  <c r="F88" i="2"/>
  <c r="F90" i="2" s="1"/>
  <c r="F71" i="7" l="1"/>
  <c r="E25" i="10" s="1"/>
  <c r="E27" i="10" s="1"/>
  <c r="F91" i="2"/>
  <c r="F92" i="2"/>
  <c r="F99" i="7" l="1"/>
  <c r="F87" i="7"/>
  <c r="F88" i="7" s="1"/>
  <c r="F92" i="7" s="1"/>
  <c r="F89" i="2"/>
  <c r="F93" i="2" s="1"/>
  <c r="F101" i="2" s="1"/>
  <c r="F102" i="2" s="1"/>
  <c r="F103" i="2" s="1"/>
  <c r="F7" i="10" l="1"/>
  <c r="G7" i="10" s="1"/>
  <c r="D32" i="10"/>
  <c r="F90" i="7"/>
  <c r="F91" i="7"/>
  <c r="F92" i="9"/>
  <c r="F96" i="9" s="1"/>
  <c r="F105" i="9" s="1"/>
  <c r="F106" i="9" s="1"/>
  <c r="F107" i="9" s="1"/>
  <c r="F6" i="10" l="1"/>
  <c r="G6" i="10" s="1"/>
  <c r="F32" i="10"/>
  <c r="D34" i="10"/>
  <c r="D36" i="10" s="1"/>
  <c r="F89" i="7"/>
  <c r="F93" i="7" l="1"/>
  <c r="F101" i="7" s="1"/>
  <c r="F102" i="7" s="1"/>
  <c r="F103" i="7" s="1"/>
  <c r="F8" i="10" l="1"/>
  <c r="G8" i="10" s="1"/>
  <c r="G13" i="10" s="1"/>
  <c r="E32" i="10"/>
  <c r="F34" i="10"/>
  <c r="F36" i="10" s="1"/>
  <c r="F20" i="10" l="1"/>
  <c r="F21" i="10" s="1"/>
  <c r="E34" i="10"/>
  <c r="E36" i="10" l="1"/>
</calcChain>
</file>

<file path=xl/sharedStrings.xml><?xml version="1.0" encoding="utf-8"?>
<sst xmlns="http://schemas.openxmlformats.org/spreadsheetml/2006/main" count="1683" uniqueCount="337">
  <si>
    <t>Insumos Diversos</t>
  </si>
  <si>
    <t>%</t>
  </si>
  <si>
    <t>A</t>
  </si>
  <si>
    <t>B</t>
  </si>
  <si>
    <t>C</t>
  </si>
  <si>
    <t>D</t>
  </si>
  <si>
    <t>E</t>
  </si>
  <si>
    <t>F</t>
  </si>
  <si>
    <t>MÓDULO 1: COMPOSIÇÃO DA REMUNERAÇÃO</t>
  </si>
  <si>
    <t>Composição da Remuneração</t>
  </si>
  <si>
    <t>G</t>
  </si>
  <si>
    <t>H</t>
  </si>
  <si>
    <t>I</t>
  </si>
  <si>
    <t>Valor (R$)</t>
  </si>
  <si>
    <t>Benefícios Mensais e Diários</t>
  </si>
  <si>
    <t>Transporte</t>
  </si>
  <si>
    <t>Uniformes</t>
  </si>
  <si>
    <t>Equipamentos</t>
  </si>
  <si>
    <t>Materiais</t>
  </si>
  <si>
    <t>Valor    (R$)</t>
  </si>
  <si>
    <t>4.1</t>
  </si>
  <si>
    <t>4.2</t>
  </si>
  <si>
    <t>Custos Indiretos, Tributos e Lucro</t>
  </si>
  <si>
    <t>Tributos</t>
  </si>
  <si>
    <t>QUADRO RESUMO - VALOR MENSAL DOS SERVIÇOS</t>
  </si>
  <si>
    <t>PIS</t>
  </si>
  <si>
    <t>Cofins</t>
  </si>
  <si>
    <t>ISS</t>
  </si>
  <si>
    <t>II</t>
  </si>
  <si>
    <t>III</t>
  </si>
  <si>
    <t>Tipo de Serviço</t>
  </si>
  <si>
    <t>ITEM</t>
  </si>
  <si>
    <t>VALOR TOTAL POR POSTO</t>
  </si>
  <si>
    <t>Valor por posto (R$)     (B)</t>
  </si>
  <si>
    <t>Lucro</t>
  </si>
  <si>
    <t>Nº do Processo (X.XX.XXX.XXXXXX/XXXX-XX)</t>
  </si>
  <si>
    <t>Modalidade de Licitação nº (XX/AAAA)</t>
  </si>
  <si>
    <t>Pregão nº</t>
  </si>
  <si>
    <t>Local de Execução (Sede, Anexo I ou II, PTM, PRM)</t>
  </si>
  <si>
    <t>Acordo, Conv. ou Sentença Normativa em Dissídio Coletivo (MM/AAAA)</t>
  </si>
  <si>
    <t>Frequência</t>
  </si>
  <si>
    <t>Diária</t>
  </si>
  <si>
    <t>PLANILHA DE CUSTOS E FORMAÇÃO DE PREÇOS</t>
  </si>
  <si>
    <t>INSS</t>
  </si>
  <si>
    <t>INCRA</t>
  </si>
  <si>
    <t>Salário Educação</t>
  </si>
  <si>
    <t>FGTS</t>
  </si>
  <si>
    <t>SEBRAE</t>
  </si>
  <si>
    <t>TOTAL</t>
  </si>
  <si>
    <t>13º Salário</t>
  </si>
  <si>
    <t>Provisão para Rescisão</t>
  </si>
  <si>
    <t>Aviso Prévio Indenizado</t>
  </si>
  <si>
    <t>Aviso Prévio Trabalhado</t>
  </si>
  <si>
    <t>Custo de Reposição do Profissional Ausente</t>
  </si>
  <si>
    <t>EMPREGADOS POR POSTO</t>
  </si>
  <si>
    <t>QUADRO RESUMO - CUSTO POR EMPREGADO</t>
  </si>
  <si>
    <t>CUSTOS REFERENTES AO POSTO 12X36 HORAS - DIURNO</t>
  </si>
  <si>
    <t>CUSTOS REFERENTES AO POSTO 12X36 HORAS - NOTURNO</t>
  </si>
  <si>
    <t>CUSTOS REFERENTES AO POSTO 44 HORAS</t>
  </si>
  <si>
    <t>DATA:</t>
  </si>
  <si>
    <t>DISCRIMINAÇÃO DOS SERVIÇOS (DADOS REFERENTES À CONTRATAÇÃO)</t>
  </si>
  <si>
    <t>Classificação Brasileira de Ocupações (CBO)</t>
  </si>
  <si>
    <t>Tipo de Serviço (mesmo serviço com características distintas)</t>
  </si>
  <si>
    <t>Categoria Profissional (vinculada à execução contratual)</t>
  </si>
  <si>
    <t>Data-Base da Categoria (DD/MM/AAAA)</t>
  </si>
  <si>
    <t>Data de Apresentação da Proposta (DD/MM/AAAA)</t>
  </si>
  <si>
    <t>Número de Meses de Execução Contratual</t>
  </si>
  <si>
    <t>MÓDULO 2: ENCARGOS E BENEFÍCIOS ANUAIS, MENSAIS E DIÁRIOS</t>
  </si>
  <si>
    <t>2.1</t>
  </si>
  <si>
    <t>Submódulo 2.1 - 13º (décimo terceiro) Salário, Férias e Adicional de Férias</t>
  </si>
  <si>
    <t>Submódulo 2.2 - Encargos Previdencários (GPS), Fundo de Garantia por Tempo de Serviço (FGTS) e Outras Contribuições</t>
  </si>
  <si>
    <t>2.2</t>
  </si>
  <si>
    <t>Auxílio-Refeição/Alimentação</t>
  </si>
  <si>
    <t>Submódulo 2.3 - Benefícios Mensais e Diários</t>
  </si>
  <si>
    <t>MÓDULO 3: PROVISÃO PARA RESCISÃO</t>
  </si>
  <si>
    <t>MÓDULO 4: CUSTO DE REPOSIÇÃO DO PROFISSIONAL AUSENTE</t>
  </si>
  <si>
    <t>Submódulo 4.2 - Intrajornada</t>
  </si>
  <si>
    <t>Intrajornada</t>
  </si>
  <si>
    <t>MÓDULO 6: CUSTOS INDIRETOS, TRIBUTOS E LUCRO</t>
  </si>
  <si>
    <t>MÓDULO 5: INSUMOS DIVERSOS</t>
  </si>
  <si>
    <t>Custos Indiretos</t>
  </si>
  <si>
    <t>C.1</t>
  </si>
  <si>
    <t>C.2</t>
  </si>
  <si>
    <t>C.3</t>
  </si>
  <si>
    <t>Adicional de Periculosidade (em %)</t>
  </si>
  <si>
    <t>Adicional Noturno</t>
  </si>
  <si>
    <t>Adicional Noturno (em %)</t>
  </si>
  <si>
    <t>Quantidade de Postos</t>
  </si>
  <si>
    <t>Outros (Especificar)</t>
  </si>
  <si>
    <t>Adicional de Hora Noturna Reduzida (em %)</t>
  </si>
  <si>
    <t>SESC</t>
  </si>
  <si>
    <t>SENAC</t>
  </si>
  <si>
    <t>Riscos Ambientas do Trabalho</t>
  </si>
  <si>
    <t>2.3</t>
  </si>
  <si>
    <t>Salário-Base</t>
  </si>
  <si>
    <t>13º Salário e Adicional de Férias</t>
  </si>
  <si>
    <t>Adicional de Periculosidade</t>
  </si>
  <si>
    <t>Adicional de Férias</t>
  </si>
  <si>
    <t>Encargos Previdenciários (GPS), Fundo de Garantia por Tempo de Serviço (FGTS) e outras contribuições</t>
  </si>
  <si>
    <t>Dados referentes à licitação</t>
  </si>
  <si>
    <t>MÓD.</t>
  </si>
  <si>
    <t>Mão-de-obra vinculada à execução contratual (valor por empregado)</t>
  </si>
  <si>
    <t>Encargos e Benefícios Anuais, Mensais e Diários</t>
  </si>
  <si>
    <t>VALOR TOTAL DO EMPREGADO</t>
  </si>
  <si>
    <t>Submódulo 4.1 - Substituto nas Ausências Legais</t>
  </si>
  <si>
    <t>Substituto nas Ausências Legais</t>
  </si>
  <si>
    <t xml:space="preserve">Substituto na Cobertura de Férias 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</si>
  <si>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</si>
  <si>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</si>
  <si>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</si>
  <si>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</si>
  <si>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Intervalo para Repouso e Alimentação</t>
  </si>
  <si>
    <t>Submódulo 2.1 - 13º (décimo terceiro) Salário e Adicional de Férias</t>
  </si>
  <si>
    <t>CUSTOS REFERENTES A SERVIÇOS DE VIGILÂNCIA</t>
  </si>
  <si>
    <t>Dados referentes à contratação</t>
  </si>
  <si>
    <t>Data / Horário</t>
  </si>
  <si>
    <t>Identificação do serviço</t>
  </si>
  <si>
    <t>Unidade de Medida</t>
  </si>
  <si>
    <t>Qtde Total a Contratar</t>
  </si>
  <si>
    <t>Mão de obra</t>
  </si>
  <si>
    <t>Dias no Ano</t>
  </si>
  <si>
    <t>Dias na Semana</t>
  </si>
  <si>
    <t>Hora Normal (em minutos)</t>
  </si>
  <si>
    <t>Hora Noturna (em minutos)</t>
  </si>
  <si>
    <t>Valor / %</t>
  </si>
  <si>
    <t>Valor (em R$)</t>
  </si>
  <si>
    <t>Divisor de Horas (em horas)</t>
  </si>
  <si>
    <t xml:space="preserve">Meses no Ano </t>
  </si>
  <si>
    <t>Hora Extra (em %)</t>
  </si>
  <si>
    <t>Empregados que recebem aviso prévio indenizado (em %)</t>
  </si>
  <si>
    <t>Multa do FGTS (em %)</t>
  </si>
  <si>
    <t>Empregados que recebem aviso prévio trabalhado (em %)</t>
  </si>
  <si>
    <t>Dias de Ausências Legais</t>
  </si>
  <si>
    <t>Dias de Licença-Paternidade</t>
  </si>
  <si>
    <t>Nascidos Vivos / População Feminina (em %)</t>
  </si>
  <si>
    <t>Participação Masculina nos Serviços de Vigilância (em %)</t>
  </si>
  <si>
    <t>Tempo de Intervalo para Refeição (em minutos)</t>
  </si>
  <si>
    <t>Empregados afastados por acidente de trabalho (em %)</t>
  </si>
  <si>
    <t>Dias de Licença-Maternidade</t>
  </si>
  <si>
    <t>Participação Feminina nos Serviços de Vigilância (em %)</t>
  </si>
  <si>
    <t>Vigilância</t>
  </si>
  <si>
    <t>Salário Mínimo vigente no país (em R$)</t>
  </si>
  <si>
    <t>Dias no mês</t>
  </si>
  <si>
    <t>Dias pagos pela empresa em acidentes de trabalho</t>
  </si>
  <si>
    <t>Mensal</t>
  </si>
  <si>
    <t>Média Anual de Dias Trabalhados no Mês</t>
  </si>
  <si>
    <t>Desconto Remuneração Transporte</t>
  </si>
  <si>
    <t>Dias Trabalhados 12 x 36 horas</t>
  </si>
  <si>
    <t>Dias Trabalhados 44 horas</t>
  </si>
  <si>
    <t>Conta</t>
  </si>
  <si>
    <t>Qtde de postos
(A)</t>
  </si>
  <si>
    <t>Valor total do serviço (R$)          C = (AxB)</t>
  </si>
  <si>
    <t>Remuneração (B)</t>
  </si>
  <si>
    <t>Total de Encargos Sociais e Trabalhistas (A)*</t>
  </si>
  <si>
    <t>* Submódulo 2.1 + Submódulo 2.2 + Módulo 3 + Submódulo 4.1</t>
  </si>
  <si>
    <t>QUADRO RESUMO - ENCARGOS SOCIAIS E TRABALHISTAS EFETIVOS</t>
  </si>
  <si>
    <t>UF</t>
  </si>
  <si>
    <t>AC</t>
  </si>
  <si>
    <t>AL</t>
  </si>
  <si>
    <t>AM</t>
  </si>
  <si>
    <t>AP</t>
  </si>
  <si>
    <t>BA</t>
  </si>
  <si>
    <t>CE</t>
  </si>
  <si>
    <t>DF</t>
  </si>
  <si>
    <t>ES</t>
  </si>
  <si>
    <t>GO</t>
  </si>
  <si>
    <t>MA</t>
  </si>
  <si>
    <t>MG</t>
  </si>
  <si>
    <t>MS</t>
  </si>
  <si>
    <t>MT</t>
  </si>
  <si>
    <t>PA</t>
  </si>
  <si>
    <t>PB</t>
  </si>
  <si>
    <t>PE</t>
  </si>
  <si>
    <t>PI</t>
  </si>
  <si>
    <t>PR</t>
  </si>
  <si>
    <t>RJ</t>
  </si>
  <si>
    <t>RN</t>
  </si>
  <si>
    <t>RO</t>
  </si>
  <si>
    <t>RR</t>
  </si>
  <si>
    <t>RS</t>
  </si>
  <si>
    <t>SC</t>
  </si>
  <si>
    <t>SE</t>
  </si>
  <si>
    <t>SP</t>
  </si>
  <si>
    <t>TO</t>
  </si>
  <si>
    <t>Unidade da Federação</t>
  </si>
  <si>
    <t>LIMITES PARA CONTRATAÇÃO, CONFORME PORTARIAS SEGES/ME</t>
  </si>
  <si>
    <t>Valor do posto (em R$)</t>
  </si>
  <si>
    <t>em R$</t>
  </si>
  <si>
    <t>Local da Execução dos Serviços</t>
  </si>
  <si>
    <t>Posto</t>
  </si>
  <si>
    <t>Item</t>
  </si>
  <si>
    <t>LIMITE MÍNIMO</t>
  </si>
  <si>
    <t>LIMITE MÁXIMO</t>
  </si>
  <si>
    <t>Limite mínimo estabelecido por portaria da Seges (em R$)</t>
  </si>
  <si>
    <t>Limite máximo estabelecido por portaria da Seges (em R$)</t>
  </si>
  <si>
    <t>O valor estimado está ACIMA DO VALOR MÍNIMO estabelecido em portaria da Seges para a respectiva unidade da federação?</t>
  </si>
  <si>
    <t>O valor estimado está ABAIXO DO VALOR MÁXIMO estabelecido em portaria da Seges para a respectiva unidade da federação?</t>
  </si>
  <si>
    <t>MÉDIA</t>
  </si>
  <si>
    <t>MENOR VALOR</t>
  </si>
  <si>
    <t>MAIOR VALOR</t>
  </si>
  <si>
    <t>Outras Remunerações 1 (Especificar)</t>
  </si>
  <si>
    <t>Outras Remunerações 2 (Especificar)</t>
  </si>
  <si>
    <t>Outras Remunerações 3 (Especificar)</t>
  </si>
  <si>
    <t>Outros Benefícios 1 (Especificar)</t>
  </si>
  <si>
    <t>Outros Benefícios 2 (Especificar)</t>
  </si>
  <si>
    <t>Outros Benefícios 3 (Especificar)</t>
  </si>
  <si>
    <t>RAMO:</t>
  </si>
  <si>
    <t>UNIDADE GESTORA (SIGLA):</t>
  </si>
  <si>
    <t>XX/XX/20XX</t>
  </si>
  <si>
    <t>XX/20XX</t>
  </si>
  <si>
    <t>HH:MM</t>
  </si>
  <si>
    <t>X.XX.XXX.XXXXXX/20XX-XX</t>
  </si>
  <si>
    <t>Outras Ausências (Especificar - em %)</t>
  </si>
  <si>
    <t>OBSERVAÇÃO</t>
  </si>
  <si>
    <t>A PARTIR DE</t>
  </si>
  <si>
    <t>Atualizado em 20/08/2019</t>
  </si>
  <si>
    <t>CUSTOS POR EMPREGADO</t>
  </si>
  <si>
    <t>Encargos Sociais e Trabalhistas Efetivos (C = A / B)</t>
  </si>
  <si>
    <t>Vigilância 12x36 horas - diurno</t>
  </si>
  <si>
    <t>Vigilância 12x36 horas - noturno</t>
  </si>
  <si>
    <t>Vigilância 44 horas semanais</t>
  </si>
  <si>
    <t>DADOS ESTATÍSTICOS</t>
  </si>
  <si>
    <t>ENCARGOS SOCIAIS E TRABALHISTAS</t>
  </si>
  <si>
    <t>Vigilantes demitidos sem justa causa / Total de desligamentos (em %)</t>
  </si>
  <si>
    <t>Memória de Cálculo</t>
  </si>
  <si>
    <t>(1/12) x 100</t>
  </si>
  <si>
    <t>[(1/3)/12] x 100</t>
  </si>
  <si>
    <t>[(62,93%) x 5,55% x (1/12)] x 100</t>
  </si>
  <si>
    <t xml:space="preserve">(1/12) x 100 </t>
  </si>
  <si>
    <t>[(8/30)/12] x 100</t>
  </si>
  <si>
    <t>[(15/30)/12] x 0,44%} x 100</t>
  </si>
  <si>
    <t>{[(20/30)/12] x 1,416% x 86,46%} x 100</t>
  </si>
  <si>
    <t>{[(180/30)/12] x 1,416% x 13,54% x 36,80%} x 100</t>
  </si>
  <si>
    <t>% / Minutos</t>
  </si>
  <si>
    <t>Para mais informações, consulte o Referencial Técnico de Custos, constante da aba PUBLICAÇÕES, na página da Auditoria Interna do MPU na internet (www.auditoria.mpu.mp.br).</t>
  </si>
  <si>
    <t>Nº do Processo</t>
  </si>
  <si>
    <t>Modalidade de Licitação</t>
  </si>
  <si>
    <t>Substituto na Intrajornada</t>
  </si>
  <si>
    <t>Submódulo 4.2 - Substituto na Intrajornada</t>
  </si>
  <si>
    <t>Dias / Horas / Minutos</t>
  </si>
  <si>
    <t>Dias / %</t>
  </si>
  <si>
    <t>Minutos / %</t>
  </si>
  <si>
    <t>[(62,93%) x 94,45% x (7/30)/12] x 100</t>
  </si>
  <si>
    <t>1,16% x 40%  x 8,00% x 100</t>
  </si>
  <si>
    <t>Multa do FGTS sobre o Aviso Prévio Trabalhado</t>
  </si>
  <si>
    <t>Supervisor 44 horas semanais</t>
  </si>
  <si>
    <t>Supervisor 12x36 horas -diurno</t>
  </si>
  <si>
    <t>Supervisor 12x36 horas - noturno</t>
  </si>
  <si>
    <t>Vigilância 44 horas semanais - Ñ LETAL</t>
  </si>
  <si>
    <t>Classificação Brasileira de Ocupações (CBO) - Supervisor</t>
  </si>
  <si>
    <t>Classificação Brasileira de Ocupações (CBO) - Vigilante</t>
  </si>
  <si>
    <t>Salário-Base (em R$) - SUPERVISOR</t>
  </si>
  <si>
    <t>Salário-Base (em R$) - VIGILANTE</t>
  </si>
  <si>
    <t>Equipamentos - SUPERVISORES</t>
  </si>
  <si>
    <t>Equipamentos - VIGILANTES 12X36h DIURNO</t>
  </si>
  <si>
    <t>Equipamentos -  VIGILANTES 12X36h NOTURNO</t>
  </si>
  <si>
    <t>Equipamentos - VIGILANTES 44h LETAL</t>
  </si>
  <si>
    <t>Equipamentos - VIGILANTES 44h NÃO LETAL</t>
  </si>
  <si>
    <t>MÓDULO 7: CUSTOS TRABALHISTAS POR RESSARCIMENTO</t>
  </si>
  <si>
    <t>TIPO DE BENEFÍCIO</t>
  </si>
  <si>
    <t>AUXILIO SAUDE</t>
  </si>
  <si>
    <t>SEGURO DE VIDA</t>
  </si>
  <si>
    <t>ASSISTÊNCIA ODONTOLÓGICA</t>
  </si>
  <si>
    <t>PLANILHA DE PREÇOS - EQUIPAMENTOS</t>
  </si>
  <si>
    <t>EQUIPAMENTOS POSTOS 12X36h DIURNO</t>
  </si>
  <si>
    <t>EQUIPAMENTOS DE SEGURANÇA</t>
  </si>
  <si>
    <t>UNIDADE</t>
  </si>
  <si>
    <t>VALOR UNITÁRIO (R$)</t>
  </si>
  <si>
    <t>QTDD</t>
  </si>
  <si>
    <t>PRODUTO TOTAL</t>
  </si>
  <si>
    <t>VIDA ÚTIL (EM MESES)</t>
  </si>
  <si>
    <t>TAXA LINEAR DEPRECIAÇÃO (EM %)</t>
  </si>
  <si>
    <t>TOTAL MENSAL (EM R$)</t>
  </si>
  <si>
    <t>Arma Letal, calibre .38, ST/04 polegadas, 5 tiros</t>
  </si>
  <si>
    <t>Unidade</t>
  </si>
  <si>
    <t>Munição</t>
  </si>
  <si>
    <t>Coldre de pintura preto, para revolver calibre .38, 5 tiros, cano de 4 polegadas</t>
  </si>
  <si>
    <t xml:space="preserve">Colete balístico (Placa Balística) </t>
  </si>
  <si>
    <t xml:space="preserve">Capa para colete balístico </t>
  </si>
  <si>
    <t>Rádio Transmissor DIGITAL,com respectivos
carregadores e baterias</t>
  </si>
  <si>
    <t>Fone auricular externo, com microfone e PTT</t>
  </si>
  <si>
    <t>Capa de chuva</t>
  </si>
  <si>
    <t>Cinto Tático</t>
  </si>
  <si>
    <t>Porta Munições</t>
  </si>
  <si>
    <t>TOTAL MENSAL</t>
  </si>
  <si>
    <t>QUANTIDADE DE FUNCIONARIOS (VIGILANTE 12X36 DIURNO)</t>
  </si>
  <si>
    <t>PROPORÇÃO MÉDIA MENSAL</t>
  </si>
  <si>
    <t>EQUIPAMENTOS POSTOS 12X36h NOTURNO</t>
  </si>
  <si>
    <t>Lanterna</t>
  </si>
  <si>
    <t>QUANTIDADE DE FUNCIONARIOS (VIGILANTE 12X36 NOTURNO)</t>
  </si>
  <si>
    <t>EQUIPAMENTOS POSTOS LETAL 44h</t>
  </si>
  <si>
    <t>QUANTIDADE DE FUNCIONARIOS (VIGILANTE 44H LETAL)</t>
  </si>
  <si>
    <t>EQUIPAMENTOS POSTOS DE SUPERVISÃO</t>
  </si>
  <si>
    <t>QUANTIDADE DE FUNCIONÁRIOS PARA SUPERVISÃO</t>
  </si>
  <si>
    <t>EQUIPAMENTOS POSTOS NÃO LETAL 44h</t>
  </si>
  <si>
    <t>Arma menos letal tipo pistola lançadora de dardos energizados – (dispositivo elétrico incapacitante), com coldre em polímero, bateria, carregador de bateria e pelo menos dois cartuchos incapacitantes com alcance mínimo de 06 metros</t>
  </si>
  <si>
    <t>Coldre de cintura preto, para revolver calibre .38, 5 ]tiros, cano de 4 polegadas</t>
  </si>
  <si>
    <t>MATERIAIS</t>
  </si>
  <si>
    <t>RELÓGIO DE PONTO ELETRÔNICO BIOMÉTRICO</t>
  </si>
  <si>
    <t>Cofre para guarda de arma de fogo que comporte o quantitativo de armas de cada posto</t>
  </si>
  <si>
    <t>QUANTIDADE TOTAL DE FUNCIONÁRIOS</t>
  </si>
  <si>
    <t>PLANILHA DE PREÇOS UNIFORME</t>
  </si>
  <si>
    <t>Uniforme - Áreas Internas do MPDFT</t>
  </si>
  <si>
    <t>Masculino</t>
  </si>
  <si>
    <t>COMPOSIÇÃO DO CONJUNTO DE UNIFORME</t>
  </si>
  <si>
    <t>QTDE. ANUAL</t>
  </si>
  <si>
    <t>VALOR ANUAL EMPREGADO (R$)</t>
  </si>
  <si>
    <t>VALOR MENSAL EMPREGADO (R$)</t>
  </si>
  <si>
    <t>Terno (paletó e calça)</t>
  </si>
  <si>
    <t>Gravata</t>
  </si>
  <si>
    <t>Camisa Social</t>
  </si>
  <si>
    <t>Sapato</t>
  </si>
  <si>
    <t>Par</t>
  </si>
  <si>
    <t>Meias Pretas</t>
  </si>
  <si>
    <t>Cinto</t>
  </si>
  <si>
    <t>TOTAL MENSAL POR EMPREGADO (R$)</t>
  </si>
  <si>
    <t>Feminino</t>
  </si>
  <si>
    <t>Blazer</t>
  </si>
  <si>
    <t>Calça</t>
  </si>
  <si>
    <t>Blusa</t>
  </si>
  <si>
    <t xml:space="preserve">MÉDIA FEMININO/MASCULINO (R$) </t>
  </si>
  <si>
    <t>QUANTIDADE DE FUNCIONARIOS (VIGILANTE 44H Ñ LETAL)</t>
  </si>
  <si>
    <t>IV</t>
  </si>
  <si>
    <t>V</t>
  </si>
  <si>
    <t>VI</t>
  </si>
  <si>
    <t>VII</t>
  </si>
  <si>
    <t>QUADRO RESUMO - VALOR MENSAL DE BENEFÍCIOS TRABALHISTAS SOB RESSARCIMENTO</t>
  </si>
  <si>
    <t>Qtdd de funcionários</t>
  </si>
  <si>
    <t>Valor Unitário do Benefício</t>
  </si>
  <si>
    <t>TOTAL ESTIMADO</t>
  </si>
  <si>
    <t>Auxílio Saúde</t>
  </si>
  <si>
    <t>Assitência Odontológica</t>
  </si>
  <si>
    <t>Seguro de Vida</t>
  </si>
  <si>
    <t>VALOR ESTIMADO DA DESPESA (B)</t>
  </si>
  <si>
    <t>VALOR GLOBAL DE CONTRATAÇAO ((A)+(B))*12</t>
  </si>
  <si>
    <t>ESTIMATIVA DE GARANTIA</t>
  </si>
  <si>
    <t>VALOR MENSAL DOS SERVIÇOS (I + II + III) - (A)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</si>
</sst>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&quot;R$&quot;\ #,##0.00;[Red]\-&quot;R$&quot;\ #,##0.00"/>
    <numFmt numFmtId="164" formatCode="#,##0.00_ ;\-#,##0.00\ "/>
    <numFmt numFmtId="165" formatCode="#,##0.0"/>
    <numFmt numFmtId="166" formatCode="&quot;R$&quot;\ #,##0.00"/>
    <numFmt numFmtId="167" formatCode="#,##0.00&quot; &quot;;&quot;(&quot;#,##0.00&quot;)&quot;"/>
  </numFmts>
  <fonts count="48" x14ac:knownFonts="1"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8"/>
      <name val="Arial"/>
      <family val="2"/>
    </font>
    <font>
      <sz val="10"/>
      <name val="Arial"/>
      <family val="2"/>
    </font>
    <font>
      <sz val="11"/>
      <name val="Segoe UI Light"/>
      <family val="2"/>
    </font>
    <font>
      <sz val="14"/>
      <name val="Segoe UI Light"/>
      <family val="2"/>
    </font>
    <font>
      <sz val="8"/>
      <name val="Segoe UI Light"/>
      <family val="2"/>
    </font>
    <font>
      <b/>
      <sz val="11"/>
      <name val="Segoe UI Light"/>
      <family val="2"/>
    </font>
    <font>
      <sz val="10"/>
      <name val="Segoe UI Light"/>
      <family val="2"/>
    </font>
    <font>
      <b/>
      <sz val="16"/>
      <name val="Segoe UI Light"/>
      <family val="2"/>
    </font>
    <font>
      <i/>
      <sz val="10"/>
      <name val="Segoe UI Light"/>
      <family val="2"/>
    </font>
    <font>
      <b/>
      <sz val="11"/>
      <color theme="0"/>
      <name val="Segoe UI Light"/>
      <family val="2"/>
    </font>
    <font>
      <sz val="11"/>
      <color rgb="FFFF0000"/>
      <name val="Segoe UI Light"/>
      <family val="2"/>
    </font>
    <font>
      <b/>
      <sz val="16"/>
      <color theme="5" tint="-0.499984740745262"/>
      <name val="Segoe UI Light"/>
      <family val="2"/>
    </font>
    <font>
      <sz val="11"/>
      <color theme="5" tint="-0.249977111117893"/>
      <name val="Segoe UI Light"/>
      <family val="2"/>
    </font>
    <font>
      <i/>
      <sz val="10"/>
      <color theme="0"/>
      <name val="Segoe UI Light"/>
      <family val="2"/>
    </font>
    <font>
      <b/>
      <sz val="14"/>
      <color theme="5" tint="-0.249977111117893"/>
      <name val="Segoe UI Light"/>
      <family val="2"/>
    </font>
    <font>
      <b/>
      <sz val="11"/>
      <color theme="5" tint="-0.499984740745262"/>
      <name val="Segoe UI Light"/>
      <family val="2"/>
    </font>
    <font>
      <b/>
      <sz val="14"/>
      <color theme="5" tint="-0.499984740745262"/>
      <name val="Segoe UI Light"/>
      <family val="2"/>
    </font>
    <font>
      <b/>
      <sz val="12"/>
      <color theme="5" tint="-0.499984740745262"/>
      <name val="Segoe UI Light"/>
      <family val="2"/>
    </font>
    <font>
      <b/>
      <sz val="20"/>
      <color theme="5" tint="-0.249977111117893"/>
      <name val="Segoe UI Light"/>
      <family val="2"/>
    </font>
    <font>
      <b/>
      <i/>
      <sz val="10"/>
      <name val="Segoe UI Light"/>
      <family val="2"/>
    </font>
    <font>
      <i/>
      <sz val="11"/>
      <name val="Segoe UI Light"/>
      <family val="2"/>
    </font>
    <font>
      <b/>
      <sz val="10"/>
      <name val="Arial"/>
      <family val="2"/>
    </font>
    <font>
      <sz val="11"/>
      <name val="Segoe UI Light"/>
      <family val="2"/>
      <charset val="1"/>
    </font>
    <font>
      <b/>
      <sz val="11"/>
      <color rgb="FF632523"/>
      <name val="Segoe UI Light"/>
      <family val="2"/>
      <charset val="1"/>
    </font>
    <font>
      <b/>
      <sz val="11"/>
      <color rgb="FFFFFFFF"/>
      <name val="Segoe UI Light"/>
      <family val="2"/>
      <charset val="1"/>
    </font>
    <font>
      <sz val="11"/>
      <color theme="1"/>
      <name val="Segoe UI Light"/>
      <family val="2"/>
    </font>
    <font>
      <b/>
      <sz val="16"/>
      <color rgb="FF632523"/>
      <name val="Segoe UI Light"/>
      <family val="2"/>
      <charset val="1"/>
    </font>
    <font>
      <b/>
      <sz val="10"/>
      <name val="Arial"/>
      <family val="2"/>
      <charset val="1"/>
    </font>
    <font>
      <b/>
      <sz val="11"/>
      <color rgb="FFFFFFFF"/>
      <name val="Segoe UI Light"/>
      <family val="2"/>
    </font>
    <font>
      <b/>
      <sz val="14"/>
      <color rgb="FF632523"/>
      <name val="Segoe UI Light"/>
      <family val="2"/>
      <charset val="1"/>
    </font>
  </fonts>
  <fills count="49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D55816"/>
        <bgColor indexed="64"/>
      </patternFill>
    </fill>
    <fill>
      <patternFill patternType="solid">
        <fgColor rgb="FFD55816"/>
        <bgColor indexed="26"/>
      </patternFill>
    </fill>
    <fill>
      <patternFill patternType="solid">
        <fgColor rgb="FFD55816"/>
        <bgColor indexed="41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26"/>
      </patternFill>
    </fill>
    <fill>
      <patternFill patternType="solid">
        <fgColor theme="9" tint="0.79998168889431442"/>
        <bgColor indexed="26"/>
      </patternFill>
    </fill>
    <fill>
      <patternFill patternType="solid">
        <fgColor theme="9"/>
        <bgColor indexed="64"/>
      </patternFill>
    </fill>
    <fill>
      <patternFill patternType="solid">
        <fgColor rgb="FFF79646"/>
        <bgColor indexed="64"/>
      </patternFill>
    </fill>
    <fill>
      <patternFill patternType="solid">
        <fgColor rgb="FFD55816"/>
        <bgColor indexed="31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indexed="26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CD5B5"/>
        <bgColor rgb="FFFDEADA"/>
      </patternFill>
    </fill>
    <fill>
      <patternFill patternType="solid">
        <fgColor rgb="FFFDEADA"/>
        <bgColor rgb="FFF2F2F2"/>
      </patternFill>
    </fill>
    <fill>
      <patternFill patternType="solid">
        <fgColor rgb="FFFFFFFF"/>
        <bgColor rgb="FFF2F2F2"/>
      </patternFill>
    </fill>
    <fill>
      <patternFill patternType="solid">
        <fgColor rgb="FFD55816"/>
        <bgColor rgb="FF993300"/>
      </patternFill>
    </fill>
    <fill>
      <patternFill patternType="solid">
        <fgColor rgb="FFC5E0B4"/>
        <bgColor rgb="FFC5E0B4"/>
      </patternFill>
    </fill>
    <fill>
      <patternFill patternType="solid">
        <fgColor rgb="FFFFFF00"/>
        <bgColor rgb="FFFFFF00"/>
      </patternFill>
    </fill>
    <fill>
      <patternFill patternType="solid">
        <fgColor rgb="FFD55816"/>
        <bgColor rgb="FFD55816"/>
      </patternFill>
    </fill>
    <fill>
      <patternFill patternType="solid">
        <fgColor theme="5" tint="0.79998168889431442"/>
        <bgColor rgb="FFFDEADA"/>
      </patternFill>
    </fill>
    <fill>
      <patternFill patternType="solid">
        <fgColor rgb="FFFAC090"/>
        <bgColor rgb="FFFCD5B5"/>
      </patternFill>
    </fill>
  </fills>
  <borders count="4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4.9989318521683403E-2"/>
      </left>
      <right/>
      <top style="thin">
        <color theme="0" tint="-4.9989318521683403E-2"/>
      </top>
      <bottom style="thin">
        <color theme="0" tint="-4.9989318521683403E-2"/>
      </bottom>
      <diagonal/>
    </border>
    <border>
      <left/>
      <right/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4.9989318521683403E-2"/>
      </left>
      <right style="thin">
        <color theme="0" tint="-4.9989318521683403E-2"/>
      </right>
      <top/>
      <bottom style="thin">
        <color theme="0" tint="-4.9989318521683403E-2"/>
      </bottom>
      <diagonal/>
    </border>
    <border>
      <left/>
      <right/>
      <top/>
      <bottom style="thin">
        <color theme="0" tint="-4.9989318521683403E-2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4.9989318521683403E-2"/>
      </left>
      <right/>
      <top/>
      <bottom/>
      <diagonal/>
    </border>
    <border>
      <left style="thin">
        <color theme="0" tint="-4.9989318521683403E-2"/>
      </left>
      <right/>
      <top style="thin">
        <color theme="0" tint="-4.9989318521683403E-2"/>
      </top>
      <bottom/>
      <diagonal/>
    </border>
    <border>
      <left style="thin">
        <color theme="0" tint="-4.9989318521683403E-2"/>
      </left>
      <right/>
      <top/>
      <bottom style="thin">
        <color theme="0" tint="-4.9989318521683403E-2"/>
      </bottom>
      <diagonal/>
    </border>
    <border>
      <left/>
      <right style="thin">
        <color rgb="FFD3D3D3"/>
      </right>
      <top style="thin">
        <color theme="0" tint="-4.9989318521683403E-2"/>
      </top>
      <bottom/>
      <diagonal/>
    </border>
    <border>
      <left style="thin">
        <color theme="0" tint="-4.9989318521683403E-2"/>
      </left>
      <right/>
      <top/>
      <bottom style="thin">
        <color rgb="FFD3D3D3"/>
      </bottom>
      <diagonal/>
    </border>
    <border>
      <left/>
      <right style="thin">
        <color rgb="FFD3D3D3"/>
      </right>
      <top/>
      <bottom style="thin">
        <color rgb="FFD3D3D3"/>
      </bottom>
      <diagonal/>
    </border>
    <border>
      <left style="thin">
        <color rgb="FFD3D3D3"/>
      </left>
      <right/>
      <top style="thin">
        <color theme="0" tint="-4.9989318521683403E-2"/>
      </top>
      <bottom/>
      <diagonal/>
    </border>
    <border>
      <left style="thin">
        <color rgb="FFD3D3D3"/>
      </left>
      <right/>
      <top/>
      <bottom style="thin">
        <color rgb="FFD3D3D3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/>
      <diagonal/>
    </border>
    <border>
      <left style="thin">
        <color theme="0" tint="-4.9989318521683403E-2"/>
      </left>
      <right style="thin">
        <color theme="0" tint="-4.9989318521683403E-2"/>
      </right>
      <top/>
      <bottom/>
      <diagonal/>
    </border>
    <border>
      <left/>
      <right/>
      <top style="thin">
        <color theme="0" tint="-4.9989318521683403E-2"/>
      </top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F2F2F2"/>
      </left>
      <right style="thin">
        <color rgb="FFF2F2F2"/>
      </right>
      <top style="thin">
        <color rgb="FFF2F2F2"/>
      </top>
      <bottom style="thin">
        <color rgb="FFF2F2F2"/>
      </bottom>
      <diagonal/>
    </border>
    <border>
      <left/>
      <right style="thin">
        <color rgb="FFF2F2F2"/>
      </right>
      <top style="thin">
        <color rgb="FFF2F2F2"/>
      </top>
      <bottom style="thin">
        <color rgb="FFF2F2F2"/>
      </bottom>
      <diagonal/>
    </border>
    <border>
      <left/>
      <right/>
      <top/>
      <bottom style="thin">
        <color rgb="FFF2F2F2"/>
      </bottom>
      <diagonal/>
    </border>
    <border>
      <left style="thin">
        <color rgb="FFF2F2F2"/>
      </left>
      <right style="thin">
        <color rgb="FFF2F2F2"/>
      </right>
      <top style="thin">
        <color rgb="FFF2F2F2"/>
      </top>
      <bottom/>
      <diagonal/>
    </border>
    <border>
      <left style="thin">
        <color rgb="FFF2F2F2"/>
      </left>
      <right style="thin">
        <color rgb="FFF2F2F2"/>
      </right>
      <top/>
      <bottom style="thin">
        <color rgb="FFF2F2F2"/>
      </bottom>
      <diagonal/>
    </border>
    <border>
      <left style="thin">
        <color rgb="FFF2F2F2"/>
      </left>
      <right/>
      <top style="thin">
        <color rgb="FFF2F2F2"/>
      </top>
      <bottom style="thin">
        <color rgb="FFF2F2F2"/>
      </bottom>
      <diagonal/>
    </border>
    <border>
      <left/>
      <right/>
      <top style="thin">
        <color rgb="FFF2F2F2"/>
      </top>
      <bottom style="thin">
        <color rgb="FFF2F2F2"/>
      </bottom>
      <diagonal/>
    </border>
    <border>
      <left style="thin">
        <color rgb="FFF2F2F2"/>
      </left>
      <right style="thin">
        <color rgb="FFF2F2F2"/>
      </right>
      <top/>
      <bottom/>
      <diagonal/>
    </border>
    <border>
      <left style="thin">
        <color rgb="FFF2F2F2"/>
      </left>
      <right/>
      <top style="thin">
        <color rgb="FFF2F2F2"/>
      </top>
      <bottom/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4" borderId="0" applyNumberFormat="0" applyBorder="0" applyAlignment="0" applyProtection="0"/>
    <xf numFmtId="0" fontId="4" fillId="16" borderId="1" applyNumberFormat="0" applyAlignment="0" applyProtection="0"/>
    <xf numFmtId="0" fontId="5" fillId="17" borderId="2" applyNumberFormat="0" applyAlignment="0" applyProtection="0"/>
    <xf numFmtId="0" fontId="6" fillId="0" borderId="3" applyNumberFormat="0" applyFill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21" borderId="0" applyNumberFormat="0" applyBorder="0" applyAlignment="0" applyProtection="0"/>
    <xf numFmtId="0" fontId="7" fillId="7" borderId="1" applyNumberFormat="0" applyAlignment="0" applyProtection="0"/>
    <xf numFmtId="0" fontId="8" fillId="3" borderId="0" applyNumberFormat="0" applyBorder="0" applyAlignment="0" applyProtection="0"/>
    <xf numFmtId="0" fontId="9" fillId="22" borderId="0" applyNumberFormat="0" applyBorder="0" applyAlignment="0" applyProtection="0"/>
    <xf numFmtId="0" fontId="19" fillId="23" borderId="4" applyNumberFormat="0" applyAlignment="0" applyProtection="0"/>
    <xf numFmtId="0" fontId="10" fillId="16" borderId="5" applyNumberFormat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9" fontId="19" fillId="0" borderId="0" applyFont="0" applyFill="0" applyBorder="0" applyAlignment="0" applyProtection="0"/>
  </cellStyleXfs>
  <cellXfs count="357">
    <xf numFmtId="0" fontId="0" fillId="0" borderId="0" xfId="0"/>
    <xf numFmtId="0" fontId="27" fillId="27" borderId="10" xfId="0" applyFont="1" applyFill="1" applyBorder="1" applyAlignment="1" applyProtection="1">
      <alignment horizontal="center" vertical="center"/>
    </xf>
    <xf numFmtId="0" fontId="27" fillId="27" borderId="10" xfId="0" applyFont="1" applyFill="1" applyBorder="1" applyAlignment="1" applyProtection="1">
      <alignment horizontal="center" vertical="center" wrapText="1"/>
    </xf>
    <xf numFmtId="0" fontId="27" fillId="28" borderId="10" xfId="0" applyFont="1" applyFill="1" applyBorder="1" applyAlignment="1" applyProtection="1">
      <alignment horizontal="center" vertical="center"/>
    </xf>
    <xf numFmtId="0" fontId="27" fillId="27" borderId="10" xfId="0" applyFont="1" applyFill="1" applyBorder="1" applyAlignment="1">
      <alignment horizontal="center" vertical="center"/>
    </xf>
    <xf numFmtId="0" fontId="27" fillId="29" borderId="10" xfId="0" applyFont="1" applyFill="1" applyBorder="1" applyAlignment="1" applyProtection="1">
      <alignment horizontal="center" vertical="center" wrapText="1"/>
    </xf>
    <xf numFmtId="3" fontId="27" fillId="27" borderId="10" xfId="0" applyNumberFormat="1" applyFont="1" applyFill="1" applyBorder="1" applyAlignment="1" applyProtection="1">
      <alignment horizontal="center" vertical="center" wrapText="1"/>
    </xf>
    <xf numFmtId="4" fontId="27" fillId="27" borderId="10" xfId="0" applyNumberFormat="1" applyFont="1" applyFill="1" applyBorder="1" applyAlignment="1" applyProtection="1">
      <alignment vertical="center" wrapText="1"/>
    </xf>
    <xf numFmtId="4" fontId="27" fillId="27" borderId="10" xfId="0" applyNumberFormat="1" applyFont="1" applyFill="1" applyBorder="1" applyAlignment="1" applyProtection="1">
      <alignment horizontal="right" vertical="center" wrapText="1"/>
    </xf>
    <xf numFmtId="3" fontId="20" fillId="30" borderId="10" xfId="0" applyNumberFormat="1" applyFont="1" applyFill="1" applyBorder="1" applyAlignment="1" applyProtection="1">
      <alignment horizontal="center" vertical="center" wrapText="1"/>
    </xf>
    <xf numFmtId="4" fontId="20" fillId="30" borderId="10" xfId="0" applyNumberFormat="1" applyFont="1" applyFill="1" applyBorder="1" applyAlignment="1" applyProtection="1">
      <alignment vertical="center" wrapText="1"/>
    </xf>
    <xf numFmtId="4" fontId="20" fillId="30" borderId="10" xfId="0" applyNumberFormat="1" applyFont="1" applyFill="1" applyBorder="1" applyAlignment="1" applyProtection="1">
      <alignment horizontal="right" vertical="center" wrapText="1"/>
    </xf>
    <xf numFmtId="3" fontId="20" fillId="31" borderId="10" xfId="0" applyNumberFormat="1" applyFont="1" applyFill="1" applyBorder="1" applyAlignment="1" applyProtection="1">
      <alignment horizontal="center" vertical="center" wrapText="1"/>
    </xf>
    <xf numFmtId="4" fontId="20" fillId="31" borderId="10" xfId="0" applyNumberFormat="1" applyFont="1" applyFill="1" applyBorder="1" applyAlignment="1" applyProtection="1">
      <alignment vertical="center" wrapText="1"/>
    </xf>
    <xf numFmtId="4" fontId="20" fillId="31" borderId="10" xfId="0" applyNumberFormat="1" applyFont="1" applyFill="1" applyBorder="1" applyAlignment="1" applyProtection="1">
      <alignment horizontal="right" vertical="center" wrapText="1"/>
    </xf>
    <xf numFmtId="0" fontId="23" fillId="24" borderId="0" xfId="0" applyFont="1" applyFill="1" applyBorder="1" applyAlignment="1" applyProtection="1"/>
    <xf numFmtId="0" fontId="23" fillId="25" borderId="0" xfId="0" applyFont="1" applyFill="1" applyBorder="1" applyAlignment="1" applyProtection="1">
      <alignment horizontal="left" vertical="center" wrapText="1"/>
    </xf>
    <xf numFmtId="0" fontId="20" fillId="25" borderId="0" xfId="0" applyFont="1" applyFill="1" applyProtection="1"/>
    <xf numFmtId="39" fontId="20" fillId="25" borderId="0" xfId="0" applyNumberFormat="1" applyFont="1" applyFill="1" applyBorder="1" applyAlignment="1" applyProtection="1">
      <alignment horizontal="right"/>
    </xf>
    <xf numFmtId="0" fontId="20" fillId="25" borderId="0" xfId="0" applyFont="1" applyFill="1" applyBorder="1" applyAlignment="1" applyProtection="1">
      <alignment horizontal="left" vertical="center" wrapText="1"/>
    </xf>
    <xf numFmtId="0" fontId="25" fillId="25" borderId="0" xfId="0" applyFont="1" applyFill="1" applyBorder="1" applyAlignment="1" applyProtection="1">
      <alignment horizontal="left" vertical="center"/>
    </xf>
    <xf numFmtId="0" fontId="20" fillId="25" borderId="0" xfId="0" applyFont="1" applyFill="1" applyBorder="1" applyProtection="1"/>
    <xf numFmtId="0" fontId="20" fillId="25" borderId="0" xfId="0" applyFont="1" applyFill="1" applyBorder="1" applyAlignment="1" applyProtection="1">
      <alignment horizontal="center"/>
    </xf>
    <xf numFmtId="0" fontId="20" fillId="26" borderId="0" xfId="0" applyFont="1" applyFill="1" applyProtection="1"/>
    <xf numFmtId="39" fontId="23" fillId="25" borderId="0" xfId="0" applyNumberFormat="1" applyFont="1" applyFill="1" applyBorder="1" applyAlignment="1" applyProtection="1">
      <alignment horizontal="center" vertical="center" wrapText="1"/>
    </xf>
    <xf numFmtId="39" fontId="20" fillId="25" borderId="0" xfId="0" applyNumberFormat="1" applyFont="1" applyFill="1" applyAlignment="1" applyProtection="1">
      <alignment horizontal="center"/>
    </xf>
    <xf numFmtId="0" fontId="23" fillId="25" borderId="0" xfId="0" applyFont="1" applyFill="1" applyBorder="1" applyAlignment="1" applyProtection="1">
      <alignment horizontal="center" vertical="center" wrapText="1"/>
    </xf>
    <xf numFmtId="39" fontId="20" fillId="25" borderId="0" xfId="0" applyNumberFormat="1" applyFont="1" applyFill="1" applyBorder="1" applyAlignment="1" applyProtection="1">
      <alignment horizontal="center" vertical="center" wrapText="1"/>
    </xf>
    <xf numFmtId="49" fontId="20" fillId="32" borderId="10" xfId="0" applyNumberFormat="1" applyFont="1" applyFill="1" applyBorder="1" applyAlignment="1" applyProtection="1">
      <alignment horizontal="center"/>
      <protection locked="0"/>
    </xf>
    <xf numFmtId="0" fontId="27" fillId="27" borderId="10" xfId="0" applyFont="1" applyFill="1" applyBorder="1" applyAlignment="1" applyProtection="1">
      <alignment horizontal="center"/>
    </xf>
    <xf numFmtId="14" fontId="20" fillId="32" borderId="10" xfId="0" applyNumberFormat="1" applyFont="1" applyFill="1" applyBorder="1" applyAlignment="1" applyProtection="1">
      <alignment horizontal="center"/>
      <protection locked="0"/>
    </xf>
    <xf numFmtId="0" fontId="20" fillId="31" borderId="10" xfId="0" applyFont="1" applyFill="1" applyBorder="1" applyAlignment="1" applyProtection="1"/>
    <xf numFmtId="0" fontId="27" fillId="25" borderId="0" xfId="0" applyFont="1" applyFill="1" applyBorder="1" applyAlignment="1" applyProtection="1">
      <alignment horizontal="center"/>
    </xf>
    <xf numFmtId="0" fontId="20" fillId="25" borderId="0" xfId="0" applyFont="1" applyFill="1" applyBorder="1" applyAlignment="1" applyProtection="1">
      <alignment horizontal="left"/>
    </xf>
    <xf numFmtId="0" fontId="31" fillId="27" borderId="10" xfId="0" applyFont="1" applyFill="1" applyBorder="1" applyAlignment="1" applyProtection="1">
      <alignment horizontal="center" vertical="center" wrapText="1"/>
    </xf>
    <xf numFmtId="39" fontId="26" fillId="31" borderId="10" xfId="0" applyNumberFormat="1" applyFont="1" applyFill="1" applyBorder="1" applyAlignment="1" applyProtection="1">
      <alignment horizontal="center" vertical="center" wrapText="1"/>
    </xf>
    <xf numFmtId="0" fontId="32" fillId="25" borderId="0" xfId="0" applyFont="1" applyFill="1" applyBorder="1" applyAlignment="1" applyProtection="1">
      <alignment horizontal="left" vertical="center"/>
    </xf>
    <xf numFmtId="0" fontId="30" fillId="25" borderId="0" xfId="0" applyFont="1" applyFill="1" applyBorder="1" applyAlignment="1" applyProtection="1">
      <alignment horizontal="left" vertical="center" wrapText="1"/>
    </xf>
    <xf numFmtId="39" fontId="30" fillId="25" borderId="0" xfId="0" applyNumberFormat="1" applyFont="1" applyFill="1" applyBorder="1" applyAlignment="1" applyProtection="1">
      <alignment horizontal="center" vertical="center" wrapText="1"/>
    </xf>
    <xf numFmtId="39" fontId="20" fillId="31" borderId="10" xfId="0" applyNumberFormat="1" applyFont="1" applyFill="1" applyBorder="1" applyAlignment="1" applyProtection="1">
      <alignment horizontal="right" vertical="center" wrapText="1"/>
    </xf>
    <xf numFmtId="39" fontId="27" fillId="27" borderId="10" xfId="0" applyNumberFormat="1" applyFont="1" applyFill="1" applyBorder="1" applyAlignment="1" applyProtection="1">
      <alignment horizontal="right" vertical="center" wrapText="1"/>
    </xf>
    <xf numFmtId="2" fontId="20" fillId="31" borderId="10" xfId="0" applyNumberFormat="1" applyFont="1" applyFill="1" applyBorder="1" applyAlignment="1" applyProtection="1">
      <alignment horizontal="center" vertical="center"/>
    </xf>
    <xf numFmtId="2" fontId="27" fillId="27" borderId="10" xfId="0" applyNumberFormat="1" applyFont="1" applyFill="1" applyBorder="1" applyAlignment="1" applyProtection="1">
      <alignment horizontal="center" vertical="center"/>
    </xf>
    <xf numFmtId="4" fontId="27" fillId="36" borderId="10" xfId="0" applyNumberFormat="1" applyFont="1" applyFill="1" applyBorder="1" applyAlignment="1" applyProtection="1">
      <alignment horizontal="right" vertical="center" wrapText="1"/>
    </xf>
    <xf numFmtId="4" fontId="27" fillId="27" borderId="10" xfId="0" applyNumberFormat="1" applyFont="1" applyFill="1" applyBorder="1" applyAlignment="1" applyProtection="1">
      <alignment horizontal="right"/>
    </xf>
    <xf numFmtId="4" fontId="27" fillId="27" borderId="10" xfId="0" applyNumberFormat="1" applyFont="1" applyFill="1" applyBorder="1" applyAlignment="1" applyProtection="1">
      <alignment horizontal="right" vertical="center"/>
    </xf>
    <xf numFmtId="4" fontId="27" fillId="36" borderId="11" xfId="0" applyNumberFormat="1" applyFont="1" applyFill="1" applyBorder="1" applyAlignment="1" applyProtection="1">
      <alignment horizontal="right" vertical="center" wrapText="1"/>
    </xf>
    <xf numFmtId="0" fontId="27" fillId="27" borderId="11" xfId="0" applyFont="1" applyFill="1" applyBorder="1" applyAlignment="1" applyProtection="1">
      <alignment horizontal="center"/>
    </xf>
    <xf numFmtId="0" fontId="27" fillId="27" borderId="11" xfId="0" applyFont="1" applyFill="1" applyBorder="1" applyAlignment="1" applyProtection="1">
      <alignment horizontal="center" vertical="center" wrapText="1"/>
    </xf>
    <xf numFmtId="2" fontId="20" fillId="31" borderId="10" xfId="0" applyNumberFormat="1" applyFont="1" applyFill="1" applyBorder="1" applyAlignment="1" applyProtection="1">
      <alignment horizontal="center" vertical="center" wrapText="1"/>
    </xf>
    <xf numFmtId="39" fontId="20" fillId="31" borderId="11" xfId="0" applyNumberFormat="1" applyFont="1" applyFill="1" applyBorder="1" applyAlignment="1" applyProtection="1">
      <alignment horizontal="right" vertical="center" wrapText="1"/>
    </xf>
    <xf numFmtId="39" fontId="20" fillId="31" borderId="10" xfId="0" applyNumberFormat="1" applyFont="1" applyFill="1" applyBorder="1" applyAlignment="1" applyProtection="1">
      <alignment horizontal="center" vertical="center" wrapText="1"/>
    </xf>
    <xf numFmtId="0" fontId="27" fillId="27" borderId="11" xfId="0" applyFont="1" applyFill="1" applyBorder="1" applyAlignment="1" applyProtection="1">
      <alignment horizontal="center" vertical="center"/>
    </xf>
    <xf numFmtId="0" fontId="27" fillId="29" borderId="11" xfId="0" applyFont="1" applyFill="1" applyBorder="1" applyAlignment="1" applyProtection="1">
      <alignment horizontal="center" vertical="center" wrapText="1"/>
    </xf>
    <xf numFmtId="0" fontId="33" fillId="25" borderId="0" xfId="0" applyFont="1" applyFill="1" applyAlignment="1" applyProtection="1">
      <alignment horizontal="left"/>
    </xf>
    <xf numFmtId="0" fontId="34" fillId="25" borderId="0" xfId="0" applyFont="1" applyFill="1" applyBorder="1" applyAlignment="1" applyProtection="1">
      <alignment horizontal="left" vertical="center"/>
    </xf>
    <xf numFmtId="164" fontId="20" fillId="31" borderId="10" xfId="0" applyNumberFormat="1" applyFont="1" applyFill="1" applyBorder="1" applyAlignment="1" applyProtection="1">
      <alignment horizontal="center" vertical="center" wrapText="1"/>
    </xf>
    <xf numFmtId="2" fontId="20" fillId="31" borderId="11" xfId="0" applyNumberFormat="1" applyFont="1" applyFill="1" applyBorder="1" applyAlignment="1" applyProtection="1">
      <alignment horizontal="center" vertical="center"/>
    </xf>
    <xf numFmtId="2" fontId="20" fillId="31" borderId="11" xfId="0" applyNumberFormat="1" applyFont="1" applyFill="1" applyBorder="1" applyAlignment="1" applyProtection="1">
      <alignment horizontal="center" vertical="center" wrapText="1"/>
    </xf>
    <xf numFmtId="0" fontId="20" fillId="37" borderId="10" xfId="0" applyFont="1" applyFill="1" applyBorder="1" applyAlignment="1" applyProtection="1"/>
    <xf numFmtId="4" fontId="20" fillId="37" borderId="10" xfId="0" applyNumberFormat="1" applyFont="1" applyFill="1" applyBorder="1" applyAlignment="1" applyProtection="1">
      <alignment horizontal="right" vertical="center" wrapText="1"/>
    </xf>
    <xf numFmtId="39" fontId="20" fillId="37" borderId="10" xfId="0" applyNumberFormat="1" applyFont="1" applyFill="1" applyBorder="1" applyAlignment="1" applyProtection="1">
      <alignment horizontal="right" vertical="center" wrapText="1"/>
    </xf>
    <xf numFmtId="2" fontId="20" fillId="37" borderId="10" xfId="0" applyNumberFormat="1" applyFont="1" applyFill="1" applyBorder="1" applyAlignment="1" applyProtection="1">
      <alignment horizontal="center" vertical="center" wrapText="1"/>
    </xf>
    <xf numFmtId="39" fontId="20" fillId="37" borderId="11" xfId="0" applyNumberFormat="1" applyFont="1" applyFill="1" applyBorder="1" applyAlignment="1" applyProtection="1">
      <alignment horizontal="right" vertical="center" wrapText="1"/>
    </xf>
    <xf numFmtId="39" fontId="20" fillId="37" borderId="10" xfId="0" applyNumberFormat="1" applyFont="1" applyFill="1" applyBorder="1" applyAlignment="1" applyProtection="1">
      <alignment horizontal="center" vertical="center" wrapText="1"/>
    </xf>
    <xf numFmtId="39" fontId="26" fillId="37" borderId="10" xfId="0" applyNumberFormat="1" applyFont="1" applyFill="1" applyBorder="1" applyAlignment="1" applyProtection="1">
      <alignment horizontal="center" vertical="center" wrapText="1"/>
    </xf>
    <xf numFmtId="39" fontId="26" fillId="31" borderId="10" xfId="0" applyNumberFormat="1" applyFont="1" applyFill="1" applyBorder="1" applyAlignment="1" applyProtection="1">
      <alignment horizontal="right" vertical="center" wrapText="1"/>
    </xf>
    <xf numFmtId="39" fontId="26" fillId="37" borderId="10" xfId="0" applyNumberFormat="1" applyFont="1" applyFill="1" applyBorder="1" applyAlignment="1" applyProtection="1">
      <alignment horizontal="right" vertical="center" wrapText="1"/>
    </xf>
    <xf numFmtId="2" fontId="20" fillId="37" borderId="11" xfId="0" applyNumberFormat="1" applyFont="1" applyFill="1" applyBorder="1" applyAlignment="1" applyProtection="1">
      <alignment horizontal="center" vertical="center" wrapText="1"/>
    </xf>
    <xf numFmtId="0" fontId="27" fillId="27" borderId="13" xfId="0" applyFont="1" applyFill="1" applyBorder="1" applyAlignment="1" applyProtection="1">
      <alignment horizontal="center" vertical="center" wrapText="1"/>
    </xf>
    <xf numFmtId="0" fontId="20" fillId="33" borderId="10" xfId="0" applyFont="1" applyFill="1" applyBorder="1" applyAlignment="1" applyProtection="1">
      <alignment horizontal="justify" vertical="center" wrapText="1"/>
    </xf>
    <xf numFmtId="4" fontId="20" fillId="32" borderId="10" xfId="0" applyNumberFormat="1" applyFont="1" applyFill="1" applyBorder="1" applyAlignment="1" applyProtection="1">
      <alignment horizontal="right"/>
      <protection locked="0"/>
    </xf>
    <xf numFmtId="10" fontId="27" fillId="27" borderId="10" xfId="0" applyNumberFormat="1" applyFont="1" applyFill="1" applyBorder="1" applyAlignment="1" applyProtection="1">
      <alignment horizontal="center" vertical="center" wrapText="1"/>
    </xf>
    <xf numFmtId="166" fontId="20" fillId="30" borderId="10" xfId="0" applyNumberFormat="1" applyFont="1" applyFill="1" applyBorder="1" applyAlignment="1" applyProtection="1">
      <alignment horizontal="right" vertical="center" wrapText="1"/>
    </xf>
    <xf numFmtId="166" fontId="20" fillId="31" borderId="10" xfId="0" applyNumberFormat="1" applyFont="1" applyFill="1" applyBorder="1" applyAlignment="1" applyProtection="1">
      <alignment horizontal="right" vertical="center" wrapText="1"/>
    </xf>
    <xf numFmtId="0" fontId="20" fillId="32" borderId="10" xfId="0" applyFont="1" applyFill="1" applyBorder="1" applyAlignment="1" applyProtection="1">
      <alignment horizontal="center" vertical="center"/>
      <protection locked="0"/>
    </xf>
    <xf numFmtId="0" fontId="20" fillId="0" borderId="0" xfId="0" applyFont="1"/>
    <xf numFmtId="3" fontId="20" fillId="31" borderId="10" xfId="0" applyNumberFormat="1" applyFont="1" applyFill="1" applyBorder="1" applyAlignment="1" applyProtection="1">
      <alignment horizontal="right" vertical="center" wrapText="1"/>
    </xf>
    <xf numFmtId="3" fontId="20" fillId="37" borderId="10" xfId="0" applyNumberFormat="1" applyFont="1" applyFill="1" applyBorder="1" applyAlignment="1" applyProtection="1">
      <alignment horizontal="right" vertical="center" wrapText="1"/>
    </xf>
    <xf numFmtId="0" fontId="27" fillId="28" borderId="20" xfId="0" applyFont="1" applyFill="1" applyBorder="1" applyAlignment="1" applyProtection="1">
      <alignment horizontal="center" vertical="center" wrapText="1"/>
    </xf>
    <xf numFmtId="0" fontId="37" fillId="0" borderId="0" xfId="0" applyFont="1" applyAlignment="1">
      <alignment horizontal="right"/>
    </xf>
    <xf numFmtId="4" fontId="38" fillId="30" borderId="10" xfId="0" applyNumberFormat="1" applyFont="1" applyFill="1" applyBorder="1" applyAlignment="1" applyProtection="1">
      <alignment horizontal="right" vertical="center" wrapText="1"/>
    </xf>
    <xf numFmtId="0" fontId="20" fillId="32" borderId="13" xfId="0" applyFont="1" applyFill="1" applyBorder="1" applyAlignment="1" applyProtection="1">
      <alignment horizontal="center"/>
      <protection locked="0"/>
    </xf>
    <xf numFmtId="4" fontId="20" fillId="34" borderId="10" xfId="0" applyNumberFormat="1" applyFont="1" applyFill="1" applyBorder="1" applyAlignment="1" applyProtection="1">
      <alignment horizontal="right" vertical="center" wrapText="1"/>
      <protection locked="0"/>
    </xf>
    <xf numFmtId="3" fontId="20" fillId="34" borderId="10" xfId="0" applyNumberFormat="1" applyFont="1" applyFill="1" applyBorder="1" applyAlignment="1" applyProtection="1">
      <alignment horizontal="right" vertical="center" wrapText="1"/>
      <protection locked="0"/>
    </xf>
    <xf numFmtId="39" fontId="20" fillId="34" borderId="10" xfId="0" applyNumberFormat="1" applyFont="1" applyFill="1" applyBorder="1" applyAlignment="1" applyProtection="1">
      <alignment horizontal="right" vertical="center" wrapText="1"/>
      <protection locked="0"/>
    </xf>
    <xf numFmtId="39" fontId="20" fillId="34" borderId="11" xfId="0" applyNumberFormat="1" applyFont="1" applyFill="1" applyBorder="1" applyAlignment="1" applyProtection="1">
      <alignment horizontal="right" vertical="center" wrapText="1"/>
      <protection locked="0"/>
    </xf>
    <xf numFmtId="14" fontId="27" fillId="27" borderId="10" xfId="0" applyNumberFormat="1" applyFont="1" applyFill="1" applyBorder="1" applyAlignment="1">
      <alignment horizontal="center" vertical="center"/>
    </xf>
    <xf numFmtId="4" fontId="27" fillId="27" borderId="10" xfId="0" applyNumberFormat="1" applyFont="1" applyFill="1" applyBorder="1" applyAlignment="1">
      <alignment horizontal="right" vertical="center"/>
    </xf>
    <xf numFmtId="0" fontId="34" fillId="25" borderId="0" xfId="0" applyFont="1" applyFill="1" applyBorder="1" applyAlignment="1" applyProtection="1">
      <alignment vertical="center"/>
    </xf>
    <xf numFmtId="0" fontId="21" fillId="32" borderId="13" xfId="0" applyFont="1" applyFill="1" applyBorder="1" applyAlignment="1" applyProtection="1">
      <protection locked="0"/>
    </xf>
    <xf numFmtId="39" fontId="20" fillId="34" borderId="10" xfId="0" applyNumberFormat="1" applyFont="1" applyFill="1" applyBorder="1" applyAlignment="1" applyProtection="1">
      <alignment horizontal="center" vertical="center" wrapText="1"/>
      <protection locked="0"/>
    </xf>
    <xf numFmtId="0" fontId="20" fillId="32" borderId="13" xfId="0" applyFont="1" applyFill="1" applyBorder="1" applyAlignment="1" applyProtection="1">
      <alignment horizontal="center" vertical="center" wrapText="1"/>
      <protection locked="0"/>
    </xf>
    <xf numFmtId="0" fontId="20" fillId="31" borderId="10" xfId="0" applyFont="1" applyFill="1" applyBorder="1" applyAlignment="1" applyProtection="1">
      <alignment horizontal="left" vertical="center" wrapText="1"/>
    </xf>
    <xf numFmtId="0" fontId="27" fillId="27" borderId="13" xfId="0" applyFont="1" applyFill="1" applyBorder="1" applyAlignment="1" applyProtection="1">
      <alignment horizontal="center" vertical="center"/>
    </xf>
    <xf numFmtId="0" fontId="27" fillId="27" borderId="12" xfId="0" applyFont="1" applyFill="1" applyBorder="1" applyAlignment="1" applyProtection="1">
      <alignment horizontal="center" vertical="center"/>
    </xf>
    <xf numFmtId="0" fontId="22" fillId="26" borderId="0" xfId="0" applyFont="1" applyFill="1" applyProtection="1"/>
    <xf numFmtId="0" fontId="22" fillId="26" borderId="0" xfId="0" applyFont="1" applyFill="1" applyBorder="1" applyProtection="1"/>
    <xf numFmtId="0" fontId="23" fillId="24" borderId="0" xfId="0" applyFont="1" applyFill="1" applyBorder="1" applyAlignment="1" applyProtection="1">
      <alignment horizontal="left"/>
    </xf>
    <xf numFmtId="49" fontId="20" fillId="24" borderId="0" xfId="0" applyNumberFormat="1" applyFont="1" applyFill="1" applyBorder="1" applyAlignment="1" applyProtection="1">
      <alignment horizontal="center"/>
    </xf>
    <xf numFmtId="0" fontId="20" fillId="37" borderId="10" xfId="0" applyNumberFormat="1" applyFont="1" applyFill="1" applyBorder="1" applyAlignment="1" applyProtection="1">
      <alignment horizontal="center"/>
    </xf>
    <xf numFmtId="0" fontId="22" fillId="26" borderId="0" xfId="0" applyFont="1" applyFill="1" applyAlignment="1" applyProtection="1">
      <alignment horizontal="center" vertical="center"/>
    </xf>
    <xf numFmtId="0" fontId="20" fillId="25" borderId="0" xfId="0" applyNumberFormat="1" applyFont="1" applyFill="1" applyBorder="1" applyAlignment="1" applyProtection="1">
      <alignment horizontal="center"/>
    </xf>
    <xf numFmtId="14" fontId="20" fillId="26" borderId="0" xfId="0" applyNumberFormat="1" applyFont="1" applyFill="1" applyBorder="1" applyAlignment="1" applyProtection="1">
      <alignment horizontal="center"/>
    </xf>
    <xf numFmtId="0" fontId="29" fillId="25" borderId="0" xfId="0" applyFont="1" applyFill="1" applyProtection="1"/>
    <xf numFmtId="0" fontId="28" fillId="25" borderId="0" xfId="0" applyFont="1" applyFill="1" applyProtection="1"/>
    <xf numFmtId="0" fontId="28" fillId="25" borderId="0" xfId="0" applyFont="1" applyFill="1" applyAlignment="1" applyProtection="1">
      <alignment wrapText="1"/>
    </xf>
    <xf numFmtId="0" fontId="28" fillId="25" borderId="0" xfId="0" applyFont="1" applyFill="1" applyAlignment="1" applyProtection="1">
      <alignment horizontal="center" wrapText="1"/>
    </xf>
    <xf numFmtId="0" fontId="20" fillId="25" borderId="0" xfId="0" applyFont="1" applyFill="1" applyAlignment="1" applyProtection="1">
      <alignment wrapText="1"/>
    </xf>
    <xf numFmtId="0" fontId="20" fillId="37" borderId="10" xfId="0" applyFont="1" applyFill="1" applyBorder="1" applyAlignment="1" applyProtection="1">
      <alignment horizontal="center"/>
    </xf>
    <xf numFmtId="0" fontId="20" fillId="31" borderId="10" xfId="0" applyFont="1" applyFill="1" applyBorder="1" applyAlignment="1" applyProtection="1">
      <alignment horizontal="center"/>
    </xf>
    <xf numFmtId="14" fontId="21" fillId="33" borderId="13" xfId="0" applyNumberFormat="1" applyFont="1" applyFill="1" applyBorder="1" applyAlignment="1" applyProtection="1">
      <alignment horizontal="right"/>
    </xf>
    <xf numFmtId="14" fontId="21" fillId="33" borderId="13" xfId="0" applyNumberFormat="1" applyFont="1" applyFill="1" applyBorder="1" applyAlignment="1" applyProtection="1"/>
    <xf numFmtId="0" fontId="24" fillId="25" borderId="0" xfId="0" applyFont="1" applyFill="1" applyProtection="1"/>
    <xf numFmtId="0" fontId="26" fillId="25" borderId="0" xfId="0" applyFont="1" applyFill="1" applyProtection="1"/>
    <xf numFmtId="37" fontId="20" fillId="37" borderId="10" xfId="0" applyNumberFormat="1" applyFont="1" applyFill="1" applyBorder="1" applyAlignment="1" applyProtection="1">
      <alignment horizontal="center"/>
    </xf>
    <xf numFmtId="2" fontId="20" fillId="33" borderId="10" xfId="0" applyNumberFormat="1" applyFont="1" applyFill="1" applyBorder="1" applyAlignment="1" applyProtection="1">
      <alignment horizontal="center"/>
    </xf>
    <xf numFmtId="14" fontId="20" fillId="38" borderId="10" xfId="0" applyNumberFormat="1" applyFont="1" applyFill="1" applyBorder="1" applyAlignment="1" applyProtection="1">
      <alignment horizontal="center"/>
    </xf>
    <xf numFmtId="2" fontId="20" fillId="38" borderId="10" xfId="0" applyNumberFormat="1" applyFont="1" applyFill="1" applyBorder="1" applyAlignment="1" applyProtection="1">
      <alignment horizontal="center"/>
    </xf>
    <xf numFmtId="0" fontId="20" fillId="31" borderId="10" xfId="0" applyNumberFormat="1" applyFont="1" applyFill="1" applyBorder="1" applyAlignment="1" applyProtection="1">
      <alignment horizontal="center"/>
    </xf>
    <xf numFmtId="0" fontId="23" fillId="0" borderId="0" xfId="0" applyFont="1" applyBorder="1" applyAlignment="1" applyProtection="1">
      <alignment horizontal="center" vertical="center"/>
    </xf>
    <xf numFmtId="0" fontId="23" fillId="24" borderId="0" xfId="0" applyFont="1" applyFill="1" applyBorder="1" applyAlignment="1" applyProtection="1">
      <alignment horizontal="left" vertical="center"/>
    </xf>
    <xf numFmtId="0" fontId="30" fillId="25" borderId="0" xfId="0" applyFont="1" applyFill="1" applyProtection="1"/>
    <xf numFmtId="0" fontId="29" fillId="25" borderId="0" xfId="0" applyFont="1" applyFill="1" applyAlignment="1" applyProtection="1">
      <alignment vertical="top"/>
    </xf>
    <xf numFmtId="0" fontId="20" fillId="25" borderId="0" xfId="0" applyFont="1" applyFill="1" applyAlignment="1" applyProtection="1">
      <alignment vertical="top"/>
    </xf>
    <xf numFmtId="0" fontId="22" fillId="26" borderId="0" xfId="0" applyFont="1" applyFill="1" applyAlignment="1" applyProtection="1">
      <alignment vertical="top"/>
    </xf>
    <xf numFmtId="0" fontId="28" fillId="25" borderId="0" xfId="0" applyFont="1" applyFill="1" applyAlignment="1" applyProtection="1">
      <alignment horizontal="left" wrapText="1"/>
    </xf>
    <xf numFmtId="164" fontId="20" fillId="25" borderId="0" xfId="0" applyNumberFormat="1" applyFont="1" applyFill="1" applyProtection="1"/>
    <xf numFmtId="49" fontId="20" fillId="38" borderId="13" xfId="0" applyNumberFormat="1" applyFont="1" applyFill="1" applyBorder="1" applyAlignment="1" applyProtection="1">
      <alignment horizontal="center" vertical="center" wrapText="1"/>
    </xf>
    <xf numFmtId="49" fontId="20" fillId="33" borderId="13" xfId="0" applyNumberFormat="1" applyFont="1" applyFill="1" applyBorder="1" applyAlignment="1" applyProtection="1">
      <alignment horizontal="center" vertical="center" wrapText="1"/>
    </xf>
    <xf numFmtId="0" fontId="27" fillId="27" borderId="12" xfId="0" applyFont="1" applyFill="1" applyBorder="1" applyAlignment="1" applyProtection="1">
      <alignment horizontal="center" vertical="center"/>
    </xf>
    <xf numFmtId="0" fontId="20" fillId="37" borderId="10" xfId="0" applyFont="1" applyFill="1" applyBorder="1" applyAlignment="1" applyProtection="1">
      <alignment horizontal="center"/>
    </xf>
    <xf numFmtId="0" fontId="20" fillId="31" borderId="10" xfId="0" applyFont="1" applyFill="1" applyBorder="1" applyAlignment="1" applyProtection="1">
      <alignment horizontal="center"/>
    </xf>
    <xf numFmtId="14" fontId="20" fillId="33" borderId="10" xfId="0" applyNumberFormat="1" applyFont="1" applyFill="1" applyBorder="1" applyAlignment="1" applyProtection="1">
      <alignment horizontal="center"/>
    </xf>
    <xf numFmtId="0" fontId="21" fillId="33" borderId="13" xfId="0" applyFont="1" applyFill="1" applyBorder="1" applyAlignment="1" applyProtection="1">
      <alignment horizontal="right"/>
    </xf>
    <xf numFmtId="0" fontId="27" fillId="27" borderId="10" xfId="0" applyFont="1" applyFill="1" applyBorder="1" applyAlignment="1" applyProtection="1">
      <alignment horizontal="left" vertical="center"/>
    </xf>
    <xf numFmtId="0" fontId="20" fillId="37" borderId="10" xfId="0" applyFont="1" applyFill="1" applyBorder="1" applyAlignment="1" applyProtection="1">
      <alignment horizontal="left" vertical="center" wrapText="1"/>
    </xf>
    <xf numFmtId="8" fontId="0" fillId="0" borderId="0" xfId="0" applyNumberFormat="1" applyAlignment="1">
      <alignment horizontal="center" vertical="center"/>
    </xf>
    <xf numFmtId="8" fontId="39" fillId="0" borderId="0" xfId="0" applyNumberFormat="1" applyFont="1" applyAlignment="1">
      <alignment horizontal="center" vertical="center"/>
    </xf>
    <xf numFmtId="0" fontId="27" fillId="27" borderId="10" xfId="0" applyFont="1" applyFill="1" applyBorder="1" applyAlignment="1" applyProtection="1">
      <alignment horizontal="left" vertical="center"/>
    </xf>
    <xf numFmtId="0" fontId="20" fillId="37" borderId="10" xfId="0" applyFont="1" applyFill="1" applyBorder="1" applyAlignment="1" applyProtection="1">
      <alignment horizontal="left" vertical="center" wrapText="1"/>
    </xf>
    <xf numFmtId="0" fontId="20" fillId="39" borderId="10" xfId="0" applyFont="1" applyFill="1" applyBorder="1" applyAlignment="1" applyProtection="1"/>
    <xf numFmtId="0" fontId="20" fillId="39" borderId="10" xfId="0" applyFont="1" applyFill="1" applyBorder="1" applyAlignment="1" applyProtection="1">
      <alignment horizontal="center"/>
    </xf>
    <xf numFmtId="39" fontId="20" fillId="34" borderId="0" xfId="0" applyNumberFormat="1" applyFont="1" applyFill="1" applyBorder="1" applyAlignment="1" applyProtection="1">
      <alignment horizontal="right" vertical="center" wrapText="1"/>
      <protection locked="0"/>
    </xf>
    <xf numFmtId="0" fontId="42" fillId="43" borderId="32" xfId="0" applyFont="1" applyFill="1" applyBorder="1" applyAlignment="1">
      <alignment horizontal="center" vertical="center"/>
    </xf>
    <xf numFmtId="0" fontId="42" fillId="43" borderId="31" xfId="0" applyFont="1" applyFill="1" applyBorder="1" applyAlignment="1">
      <alignment horizontal="center" vertical="center" wrapText="1"/>
    </xf>
    <xf numFmtId="0" fontId="40" fillId="42" borderId="0" xfId="0" applyFont="1" applyFill="1"/>
    <xf numFmtId="0" fontId="42" fillId="43" borderId="33" xfId="0" applyFont="1" applyFill="1" applyBorder="1" applyAlignment="1">
      <alignment horizontal="center" vertical="center"/>
    </xf>
    <xf numFmtId="167" fontId="43" fillId="44" borderId="31" xfId="0" applyNumberFormat="1" applyFont="1" applyFill="1" applyBorder="1" applyAlignment="1" applyProtection="1">
      <alignment horizontal="right" vertical="center" wrapText="1"/>
      <protection locked="0"/>
    </xf>
    <xf numFmtId="0" fontId="42" fillId="43" borderId="35" xfId="0" applyFont="1" applyFill="1" applyBorder="1" applyAlignment="1">
      <alignment horizontal="center" vertical="center" wrapText="1"/>
    </xf>
    <xf numFmtId="0" fontId="40" fillId="40" borderId="36" xfId="0" applyFont="1" applyFill="1" applyBorder="1" applyAlignment="1">
      <alignment horizontal="center" vertical="center"/>
    </xf>
    <xf numFmtId="0" fontId="40" fillId="40" borderId="36" xfId="0" applyFont="1" applyFill="1" applyBorder="1" applyAlignment="1">
      <alignment vertical="distributed" wrapText="1"/>
    </xf>
    <xf numFmtId="0" fontId="40" fillId="40" borderId="36" xfId="0" applyFont="1" applyFill="1" applyBorder="1" applyAlignment="1">
      <alignment horizontal="center" vertical="distributed" wrapText="1"/>
    </xf>
    <xf numFmtId="4" fontId="43" fillId="44" borderId="36" xfId="0" applyNumberFormat="1" applyFont="1" applyFill="1" applyBorder="1" applyAlignment="1">
      <alignment horizontal="right" vertical="center"/>
    </xf>
    <xf numFmtId="4" fontId="40" fillId="40" borderId="36" xfId="0" applyNumberFormat="1" applyFont="1" applyFill="1" applyBorder="1" applyAlignment="1">
      <alignment horizontal="right" vertical="center"/>
    </xf>
    <xf numFmtId="3" fontId="40" fillId="40" borderId="36" xfId="0" applyNumberFormat="1" applyFont="1" applyFill="1" applyBorder="1" applyAlignment="1">
      <alignment horizontal="center" vertical="center"/>
    </xf>
    <xf numFmtId="2" fontId="40" fillId="40" borderId="36" xfId="0" applyNumberFormat="1" applyFont="1" applyFill="1" applyBorder="1" applyAlignment="1">
      <alignment horizontal="center" vertical="center"/>
    </xf>
    <xf numFmtId="4" fontId="0" fillId="0" borderId="0" xfId="0" applyNumberFormat="1"/>
    <xf numFmtId="0" fontId="40" fillId="41" borderId="37" xfId="0" applyFont="1" applyFill="1" applyBorder="1" applyAlignment="1">
      <alignment horizontal="center" vertical="center"/>
    </xf>
    <xf numFmtId="0" fontId="40" fillId="41" borderId="37" xfId="0" applyFont="1" applyFill="1" applyBorder="1" applyAlignment="1">
      <alignment vertical="distributed" wrapText="1"/>
    </xf>
    <xf numFmtId="0" fontId="40" fillId="41" borderId="38" xfId="0" applyFont="1" applyFill="1" applyBorder="1" applyAlignment="1">
      <alignment horizontal="center" vertical="distributed" wrapText="1"/>
    </xf>
    <xf numFmtId="0" fontId="40" fillId="41" borderId="38" xfId="0" applyFont="1" applyFill="1" applyBorder="1" applyAlignment="1">
      <alignment horizontal="center" vertical="center"/>
    </xf>
    <xf numFmtId="4" fontId="40" fillId="41" borderId="38" xfId="0" applyNumberFormat="1" applyFont="1" applyFill="1" applyBorder="1" applyAlignment="1">
      <alignment horizontal="right" vertical="center"/>
    </xf>
    <xf numFmtId="1" fontId="40" fillId="41" borderId="37" xfId="43" applyNumberFormat="1" applyFont="1" applyFill="1" applyBorder="1" applyAlignment="1" applyProtection="1">
      <alignment horizontal="center" vertical="center"/>
    </xf>
    <xf numFmtId="2" fontId="40" fillId="41" borderId="37" xfId="43" applyNumberFormat="1" applyFont="1" applyFill="1" applyBorder="1" applyAlignment="1" applyProtection="1">
      <alignment horizontal="center" vertical="center"/>
    </xf>
    <xf numFmtId="1" fontId="40" fillId="40" borderId="36" xfId="0" applyNumberFormat="1" applyFont="1" applyFill="1" applyBorder="1" applyAlignment="1">
      <alignment horizontal="center" vertical="center"/>
    </xf>
    <xf numFmtId="0" fontId="40" fillId="41" borderId="0" xfId="0" applyFont="1" applyFill="1" applyAlignment="1">
      <alignment horizontal="center" vertical="center"/>
    </xf>
    <xf numFmtId="0" fontId="45" fillId="45" borderId="0" xfId="0" applyFont="1" applyFill="1" applyAlignment="1">
      <alignment horizontal="center"/>
    </xf>
    <xf numFmtId="4" fontId="46" fillId="46" borderId="32" xfId="0" applyNumberFormat="1" applyFont="1" applyFill="1" applyBorder="1" applyAlignment="1">
      <alignment horizontal="right"/>
    </xf>
    <xf numFmtId="4" fontId="42" fillId="43" borderId="32" xfId="0" applyNumberFormat="1" applyFont="1" applyFill="1" applyBorder="1" applyAlignment="1">
      <alignment horizontal="right"/>
    </xf>
    <xf numFmtId="0" fontId="40" fillId="40" borderId="0" xfId="0" applyFont="1" applyFill="1" applyAlignment="1">
      <alignment horizontal="center" vertical="center"/>
    </xf>
    <xf numFmtId="0" fontId="40" fillId="40" borderId="39" xfId="0" applyFont="1" applyFill="1" applyBorder="1" applyAlignment="1">
      <alignment vertical="distributed" wrapText="1"/>
    </xf>
    <xf numFmtId="0" fontId="40" fillId="40" borderId="39" xfId="0" applyFont="1" applyFill="1" applyBorder="1" applyAlignment="1">
      <alignment horizontal="center" vertical="center"/>
    </xf>
    <xf numFmtId="4" fontId="40" fillId="40" borderId="39" xfId="0" applyNumberFormat="1" applyFont="1" applyFill="1" applyBorder="1" applyAlignment="1">
      <alignment horizontal="right" vertical="center"/>
    </xf>
    <xf numFmtId="1" fontId="40" fillId="40" borderId="39" xfId="0" applyNumberFormat="1" applyFont="1" applyFill="1" applyBorder="1" applyAlignment="1">
      <alignment horizontal="center" vertical="center"/>
    </xf>
    <xf numFmtId="0" fontId="40" fillId="47" borderId="36" xfId="0" applyFont="1" applyFill="1" applyBorder="1" applyAlignment="1">
      <alignment horizontal="center" vertical="center"/>
    </xf>
    <xf numFmtId="0" fontId="40" fillId="40" borderId="39" xfId="0" applyFont="1" applyFill="1" applyBorder="1" applyAlignment="1">
      <alignment horizontal="center" vertical="distributed" wrapText="1"/>
    </xf>
    <xf numFmtId="3" fontId="40" fillId="40" borderId="39" xfId="0" applyNumberFormat="1" applyFont="1" applyFill="1" applyBorder="1" applyAlignment="1">
      <alignment horizontal="center" vertical="center"/>
    </xf>
    <xf numFmtId="4" fontId="40" fillId="40" borderId="40" xfId="0" applyNumberFormat="1" applyFont="1" applyFill="1" applyBorder="1" applyAlignment="1">
      <alignment horizontal="right" vertical="center"/>
    </xf>
    <xf numFmtId="0" fontId="40" fillId="41" borderId="37" xfId="0" applyFont="1" applyFill="1" applyBorder="1" applyAlignment="1">
      <alignment vertical="center" wrapText="1"/>
    </xf>
    <xf numFmtId="0" fontId="40" fillId="41" borderId="38" xfId="0" applyFont="1" applyFill="1" applyBorder="1" applyAlignment="1">
      <alignment horizontal="center" vertical="center" wrapText="1"/>
    </xf>
    <xf numFmtId="4" fontId="43" fillId="44" borderId="33" xfId="0" applyNumberFormat="1" applyFont="1" applyFill="1" applyBorder="1" applyAlignment="1">
      <alignment horizontal="right" vertical="center" wrapText="1"/>
    </xf>
    <xf numFmtId="4" fontId="40" fillId="41" borderId="37" xfId="0" applyNumberFormat="1" applyFont="1" applyFill="1" applyBorder="1" applyAlignment="1">
      <alignment horizontal="right" vertical="center"/>
    </xf>
    <xf numFmtId="4" fontId="46" fillId="46" borderId="33" xfId="0" applyNumberFormat="1" applyFont="1" applyFill="1" applyBorder="1" applyAlignment="1">
      <alignment horizontal="right"/>
    </xf>
    <xf numFmtId="3" fontId="20" fillId="39" borderId="10" xfId="0" applyNumberFormat="1" applyFont="1" applyFill="1" applyBorder="1" applyAlignment="1" applyProtection="1">
      <alignment horizontal="right" vertical="center" wrapText="1"/>
    </xf>
    <xf numFmtId="165" fontId="20" fillId="39" borderId="10" xfId="0" applyNumberFormat="1" applyFont="1" applyFill="1" applyBorder="1" applyAlignment="1" applyProtection="1">
      <alignment horizontal="right" vertical="center" wrapText="1"/>
    </xf>
    <xf numFmtId="37" fontId="20" fillId="39" borderId="10" xfId="0" applyNumberFormat="1" applyFont="1" applyFill="1" applyBorder="1" applyAlignment="1" applyProtection="1">
      <alignment horizontal="right" vertical="center" wrapText="1"/>
    </xf>
    <xf numFmtId="39" fontId="20" fillId="39" borderId="10" xfId="0" applyNumberFormat="1" applyFont="1" applyFill="1" applyBorder="1" applyAlignment="1" applyProtection="1">
      <alignment horizontal="right" vertical="center" wrapText="1"/>
    </xf>
    <xf numFmtId="2" fontId="20" fillId="39" borderId="10" xfId="0" applyNumberFormat="1" applyFont="1" applyFill="1" applyBorder="1" applyAlignment="1" applyProtection="1">
      <alignment horizontal="center" vertical="center" wrapText="1"/>
    </xf>
    <xf numFmtId="4" fontId="43" fillId="44" borderId="32" xfId="0" applyNumberFormat="1" applyFont="1" applyFill="1" applyBorder="1" applyAlignment="1" applyProtection="1">
      <alignment horizontal="right" vertical="center" wrapText="1"/>
      <protection locked="0"/>
    </xf>
    <xf numFmtId="3" fontId="43" fillId="44" borderId="32" xfId="0" applyNumberFormat="1" applyFont="1" applyFill="1" applyBorder="1" applyAlignment="1" applyProtection="1">
      <alignment horizontal="right" vertical="center" wrapText="1"/>
      <protection locked="0"/>
    </xf>
    <xf numFmtId="167" fontId="43" fillId="44" borderId="32" xfId="0" applyNumberFormat="1" applyFont="1" applyFill="1" applyBorder="1" applyAlignment="1" applyProtection="1">
      <alignment horizontal="right" vertical="center" wrapText="1"/>
      <protection locked="0"/>
    </xf>
    <xf numFmtId="3" fontId="40" fillId="48" borderId="32" xfId="0" applyNumberFormat="1" applyFont="1" applyFill="1" applyBorder="1" applyAlignment="1">
      <alignment horizontal="left" vertical="center" wrapText="1"/>
    </xf>
    <xf numFmtId="3" fontId="40" fillId="41" borderId="32" xfId="0" applyNumberFormat="1" applyFont="1" applyFill="1" applyBorder="1" applyAlignment="1">
      <alignment horizontal="left" vertical="center" wrapText="1"/>
    </xf>
    <xf numFmtId="0" fontId="42" fillId="43" borderId="32" xfId="0" applyFont="1" applyFill="1" applyBorder="1" applyAlignment="1">
      <alignment horizontal="center" vertical="center" wrapText="1"/>
    </xf>
    <xf numFmtId="3" fontId="40" fillId="48" borderId="32" xfId="0" applyNumberFormat="1" applyFont="1" applyFill="1" applyBorder="1" applyAlignment="1">
      <alignment horizontal="center" vertical="center" wrapText="1"/>
    </xf>
    <xf numFmtId="4" fontId="40" fillId="48" borderId="32" xfId="0" applyNumberFormat="1" applyFont="1" applyFill="1" applyBorder="1" applyAlignment="1">
      <alignment horizontal="center" vertical="center" wrapText="1"/>
    </xf>
    <xf numFmtId="3" fontId="40" fillId="41" borderId="32" xfId="0" applyNumberFormat="1" applyFont="1" applyFill="1" applyBorder="1" applyAlignment="1">
      <alignment horizontal="center" vertical="center" wrapText="1"/>
    </xf>
    <xf numFmtId="4" fontId="40" fillId="41" borderId="32" xfId="0" applyNumberFormat="1" applyFont="1" applyFill="1" applyBorder="1" applyAlignment="1">
      <alignment horizontal="center" vertical="center" wrapText="1"/>
    </xf>
    <xf numFmtId="4" fontId="42" fillId="43" borderId="32" xfId="0" applyNumberFormat="1" applyFont="1" applyFill="1" applyBorder="1" applyAlignment="1">
      <alignment horizontal="center" vertical="center" wrapText="1"/>
    </xf>
    <xf numFmtId="4" fontId="42" fillId="43" borderId="0" xfId="0" applyNumberFormat="1" applyFont="1" applyFill="1" applyAlignment="1">
      <alignment horizontal="center" vertical="center" wrapText="1"/>
    </xf>
    <xf numFmtId="167" fontId="43" fillId="44" borderId="32" xfId="0" applyNumberFormat="1" applyFont="1" applyFill="1" applyBorder="1" applyAlignment="1" applyProtection="1">
      <alignment horizontal="center" vertical="center" wrapText="1"/>
      <protection locked="0"/>
    </xf>
    <xf numFmtId="0" fontId="20" fillId="37" borderId="10" xfId="0" applyFont="1" applyFill="1" applyBorder="1" applyAlignment="1" applyProtection="1">
      <alignment horizontal="left"/>
    </xf>
    <xf numFmtId="0" fontId="27" fillId="29" borderId="13" xfId="0" applyFont="1" applyFill="1" applyBorder="1" applyAlignment="1" applyProtection="1">
      <alignment horizontal="left" vertical="center" wrapText="1"/>
    </xf>
    <xf numFmtId="0" fontId="27" fillId="29" borderId="12" xfId="0" applyFont="1" applyFill="1" applyBorder="1" applyAlignment="1" applyProtection="1">
      <alignment horizontal="left" vertical="center" wrapText="1"/>
    </xf>
    <xf numFmtId="0" fontId="20" fillId="31" borderId="13" xfId="0" applyFont="1" applyFill="1" applyBorder="1" applyAlignment="1" applyProtection="1">
      <alignment horizontal="left"/>
    </xf>
    <xf numFmtId="0" fontId="20" fillId="31" borderId="12" xfId="0" applyFont="1" applyFill="1" applyBorder="1" applyAlignment="1" applyProtection="1">
      <alignment horizontal="left"/>
    </xf>
    <xf numFmtId="0" fontId="20" fillId="31" borderId="13" xfId="0" applyFont="1" applyFill="1" applyBorder="1" applyAlignment="1" applyProtection="1">
      <alignment horizontal="left" vertical="center" wrapText="1"/>
    </xf>
    <xf numFmtId="0" fontId="20" fillId="31" borderId="14" xfId="0" applyFont="1" applyFill="1" applyBorder="1" applyAlignment="1" applyProtection="1">
      <alignment horizontal="left" vertical="center" wrapText="1"/>
    </xf>
    <xf numFmtId="0" fontId="20" fillId="31" borderId="12" xfId="0" applyFont="1" applyFill="1" applyBorder="1" applyAlignment="1" applyProtection="1">
      <alignment horizontal="left" vertical="center" wrapText="1"/>
    </xf>
    <xf numFmtId="39" fontId="20" fillId="37" borderId="10" xfId="0" applyNumberFormat="1" applyFont="1" applyFill="1" applyBorder="1" applyAlignment="1" applyProtection="1">
      <alignment horizontal="left" vertical="center" wrapText="1"/>
    </xf>
    <xf numFmtId="39" fontId="20" fillId="34" borderId="13" xfId="0" applyNumberFormat="1" applyFont="1" applyFill="1" applyBorder="1" applyAlignment="1" applyProtection="1">
      <alignment horizontal="left" vertical="center" wrapText="1"/>
      <protection locked="0"/>
    </xf>
    <xf numFmtId="39" fontId="20" fillId="34" borderId="12" xfId="0" applyNumberFormat="1" applyFont="1" applyFill="1" applyBorder="1" applyAlignment="1" applyProtection="1">
      <alignment horizontal="left" vertical="center" wrapText="1"/>
      <protection locked="0"/>
    </xf>
    <xf numFmtId="0" fontId="27" fillId="27" borderId="13" xfId="0" applyFont="1" applyFill="1" applyBorder="1" applyAlignment="1" applyProtection="1">
      <alignment horizontal="left" vertical="center" wrapText="1"/>
    </xf>
    <xf numFmtId="0" fontId="27" fillId="27" borderId="14" xfId="0" applyFont="1" applyFill="1" applyBorder="1" applyAlignment="1" applyProtection="1">
      <alignment horizontal="left" vertical="center" wrapText="1"/>
    </xf>
    <xf numFmtId="0" fontId="27" fillId="27" borderId="12" xfId="0" applyFont="1" applyFill="1" applyBorder="1" applyAlignment="1" applyProtection="1">
      <alignment horizontal="left" vertical="center" wrapText="1"/>
    </xf>
    <xf numFmtId="0" fontId="27" fillId="27" borderId="10" xfId="0" applyFont="1" applyFill="1" applyBorder="1" applyAlignment="1" applyProtection="1">
      <alignment horizontal="left" vertical="center"/>
    </xf>
    <xf numFmtId="4" fontId="20" fillId="35" borderId="13" xfId="0" applyNumberFormat="1" applyFont="1" applyFill="1" applyBorder="1" applyAlignment="1" applyProtection="1">
      <alignment horizontal="left" vertical="center" wrapText="1"/>
      <protection locked="0"/>
    </xf>
    <xf numFmtId="4" fontId="20" fillId="35" borderId="14" xfId="0" applyNumberFormat="1" applyFont="1" applyFill="1" applyBorder="1" applyAlignment="1" applyProtection="1">
      <alignment horizontal="left" vertical="center" wrapText="1"/>
      <protection locked="0"/>
    </xf>
    <xf numFmtId="4" fontId="20" fillId="35" borderId="12" xfId="0" applyNumberFormat="1" applyFont="1" applyFill="1" applyBorder="1" applyAlignment="1" applyProtection="1">
      <alignment horizontal="left" vertical="center" wrapText="1"/>
      <protection locked="0"/>
    </xf>
    <xf numFmtId="0" fontId="27" fillId="27" borderId="13" xfId="0" applyFont="1" applyFill="1" applyBorder="1" applyAlignment="1" applyProtection="1">
      <alignment horizontal="left" vertical="center"/>
    </xf>
    <xf numFmtId="0" fontId="27" fillId="27" borderId="14" xfId="0" applyFont="1" applyFill="1" applyBorder="1" applyAlignment="1" applyProtection="1">
      <alignment horizontal="left" vertical="center"/>
    </xf>
    <xf numFmtId="0" fontId="27" fillId="27" borderId="12" xfId="0" applyFont="1" applyFill="1" applyBorder="1" applyAlignment="1" applyProtection="1">
      <alignment horizontal="left" vertical="center"/>
    </xf>
    <xf numFmtId="0" fontId="27" fillId="29" borderId="11" xfId="0" applyFont="1" applyFill="1" applyBorder="1" applyAlignment="1" applyProtection="1">
      <alignment horizontal="left" vertical="center" wrapText="1"/>
    </xf>
    <xf numFmtId="0" fontId="20" fillId="37" borderId="11" xfId="0" applyFont="1" applyFill="1" applyBorder="1" applyAlignment="1" applyProtection="1">
      <alignment horizontal="left" vertical="center" wrapText="1"/>
    </xf>
    <xf numFmtId="0" fontId="20" fillId="31" borderId="11" xfId="0" applyFont="1" applyFill="1" applyBorder="1" applyAlignment="1" applyProtection="1">
      <alignment horizontal="left" vertical="center" wrapText="1"/>
    </xf>
    <xf numFmtId="0" fontId="40" fillId="40" borderId="31" xfId="0" applyFont="1" applyFill="1" applyBorder="1" applyAlignment="1">
      <alignment horizontal="left" vertical="center" wrapText="1"/>
    </xf>
    <xf numFmtId="0" fontId="20" fillId="25" borderId="0" xfId="0" applyFont="1" applyFill="1" applyAlignment="1" applyProtection="1">
      <alignment horizontal="justify" vertical="center" wrapText="1"/>
    </xf>
    <xf numFmtId="0" fontId="20" fillId="37" borderId="13" xfId="0" applyFont="1" applyFill="1" applyBorder="1" applyAlignment="1" applyProtection="1">
      <alignment horizontal="left" vertical="center" wrapText="1"/>
    </xf>
    <xf numFmtId="0" fontId="20" fillId="37" borderId="14" xfId="0" applyFont="1" applyFill="1" applyBorder="1" applyAlignment="1" applyProtection="1">
      <alignment horizontal="left" vertical="center" wrapText="1"/>
    </xf>
    <xf numFmtId="0" fontId="20" fillId="37" borderId="12" xfId="0" applyFont="1" applyFill="1" applyBorder="1" applyAlignment="1" applyProtection="1">
      <alignment horizontal="left" vertical="center" wrapText="1"/>
    </xf>
    <xf numFmtId="0" fontId="42" fillId="43" borderId="32" xfId="0" applyFont="1" applyFill="1" applyBorder="1" applyAlignment="1">
      <alignment horizontal="left" vertical="center" wrapText="1"/>
    </xf>
    <xf numFmtId="0" fontId="40" fillId="40" borderId="32" xfId="0" applyFont="1" applyFill="1" applyBorder="1" applyAlignment="1">
      <alignment horizontal="left"/>
    </xf>
    <xf numFmtId="0" fontId="40" fillId="41" borderId="32" xfId="0" applyFont="1" applyFill="1" applyBorder="1" applyAlignment="1">
      <alignment horizontal="left"/>
    </xf>
    <xf numFmtId="0" fontId="21" fillId="32" borderId="13" xfId="0" applyFont="1" applyFill="1" applyBorder="1" applyAlignment="1" applyProtection="1">
      <alignment horizontal="left"/>
      <protection locked="0"/>
    </xf>
    <xf numFmtId="0" fontId="21" fillId="32" borderId="14" xfId="0" applyFont="1" applyFill="1" applyBorder="1" applyAlignment="1" applyProtection="1">
      <alignment horizontal="left"/>
      <protection locked="0"/>
    </xf>
    <xf numFmtId="0" fontId="21" fillId="32" borderId="12" xfId="0" applyFont="1" applyFill="1" applyBorder="1" applyAlignment="1" applyProtection="1">
      <alignment horizontal="left"/>
      <protection locked="0"/>
    </xf>
    <xf numFmtId="0" fontId="29" fillId="25" borderId="0" xfId="0" applyFont="1" applyFill="1" applyBorder="1" applyAlignment="1" applyProtection="1">
      <alignment horizontal="center"/>
    </xf>
    <xf numFmtId="0" fontId="27" fillId="27" borderId="15" xfId="0" applyFont="1" applyFill="1" applyBorder="1" applyAlignment="1" applyProtection="1">
      <alignment horizontal="left"/>
    </xf>
    <xf numFmtId="0" fontId="20" fillId="37" borderId="10" xfId="0" applyFont="1" applyFill="1" applyBorder="1" applyAlignment="1" applyProtection="1">
      <alignment horizontal="center"/>
    </xf>
    <xf numFmtId="0" fontId="27" fillId="27" borderId="13" xfId="0" applyFont="1" applyFill="1" applyBorder="1" applyAlignment="1" applyProtection="1">
      <alignment horizontal="center" vertical="center"/>
    </xf>
    <xf numFmtId="0" fontId="27" fillId="27" borderId="12" xfId="0" applyFont="1" applyFill="1" applyBorder="1" applyAlignment="1" applyProtection="1">
      <alignment horizontal="center" vertical="center"/>
    </xf>
    <xf numFmtId="0" fontId="20" fillId="33" borderId="13" xfId="0" applyFont="1" applyFill="1" applyBorder="1" applyAlignment="1" applyProtection="1">
      <alignment horizontal="center" vertical="center" wrapText="1"/>
    </xf>
    <xf numFmtId="0" fontId="20" fillId="33" borderId="12" xfId="0" applyFont="1" applyFill="1" applyBorder="1" applyAlignment="1" applyProtection="1">
      <alignment horizontal="center" vertical="center" wrapText="1"/>
    </xf>
    <xf numFmtId="0" fontId="20" fillId="38" borderId="13" xfId="0" applyFont="1" applyFill="1" applyBorder="1" applyAlignment="1" applyProtection="1">
      <alignment horizontal="center" vertical="center" wrapText="1"/>
    </xf>
    <xf numFmtId="0" fontId="20" fillId="38" borderId="12" xfId="0" applyFont="1" applyFill="1" applyBorder="1" applyAlignment="1" applyProtection="1">
      <alignment horizontal="center" vertical="center" wrapText="1"/>
    </xf>
    <xf numFmtId="0" fontId="20" fillId="38" borderId="10" xfId="0" applyFont="1" applyFill="1" applyBorder="1" applyAlignment="1" applyProtection="1">
      <alignment horizontal="left"/>
    </xf>
    <xf numFmtId="0" fontId="20" fillId="32" borderId="10" xfId="0" applyFont="1" applyFill="1" applyBorder="1" applyAlignment="1" applyProtection="1">
      <alignment horizontal="center"/>
      <protection locked="0"/>
    </xf>
    <xf numFmtId="49" fontId="20" fillId="32" borderId="13" xfId="0" applyNumberFormat="1" applyFont="1" applyFill="1" applyBorder="1" applyAlignment="1" applyProtection="1">
      <alignment horizontal="center"/>
      <protection locked="0"/>
    </xf>
    <xf numFmtId="49" fontId="20" fillId="32" borderId="12" xfId="0" applyNumberFormat="1" applyFont="1" applyFill="1" applyBorder="1" applyAlignment="1" applyProtection="1">
      <alignment horizontal="center"/>
      <protection locked="0"/>
    </xf>
    <xf numFmtId="0" fontId="20" fillId="33" borderId="10" xfId="0" applyFont="1" applyFill="1" applyBorder="1" applyAlignment="1" applyProtection="1">
      <alignment horizontal="left"/>
    </xf>
    <xf numFmtId="0" fontId="20" fillId="32" borderId="10" xfId="0" applyFont="1" applyFill="1" applyBorder="1" applyAlignment="1" applyProtection="1">
      <alignment horizontal="right"/>
      <protection locked="0"/>
    </xf>
    <xf numFmtId="0" fontId="20" fillId="32" borderId="10" xfId="0" applyFont="1" applyFill="1" applyBorder="1" applyAlignment="1" applyProtection="1">
      <alignment horizontal="left" vertical="center"/>
      <protection locked="0"/>
    </xf>
    <xf numFmtId="0" fontId="20" fillId="33" borderId="13" xfId="0" applyFont="1" applyFill="1" applyBorder="1" applyAlignment="1" applyProtection="1">
      <alignment horizontal="left" vertical="center" wrapText="1"/>
    </xf>
    <xf numFmtId="0" fontId="20" fillId="33" borderId="14" xfId="0" applyFont="1" applyFill="1" applyBorder="1" applyAlignment="1" applyProtection="1">
      <alignment horizontal="left" vertical="center" wrapText="1"/>
    </xf>
    <xf numFmtId="0" fontId="20" fillId="33" borderId="12" xfId="0" applyFont="1" applyFill="1" applyBorder="1" applyAlignment="1" applyProtection="1">
      <alignment horizontal="left" vertical="center" wrapText="1"/>
    </xf>
    <xf numFmtId="39" fontId="20" fillId="34" borderId="10" xfId="0" applyNumberFormat="1" applyFont="1" applyFill="1" applyBorder="1" applyAlignment="1" applyProtection="1">
      <alignment horizontal="left" vertical="center" wrapText="1"/>
      <protection locked="0"/>
    </xf>
    <xf numFmtId="0" fontId="20" fillId="31" borderId="10" xfId="0" applyFont="1" applyFill="1" applyBorder="1" applyAlignment="1" applyProtection="1">
      <alignment horizontal="left"/>
    </xf>
    <xf numFmtId="0" fontId="20" fillId="31" borderId="13" xfId="0" applyFont="1" applyFill="1" applyBorder="1" applyAlignment="1" applyProtection="1">
      <alignment horizontal="center"/>
    </xf>
    <xf numFmtId="0" fontId="20" fillId="31" borderId="14" xfId="0" applyFont="1" applyFill="1" applyBorder="1" applyAlignment="1" applyProtection="1">
      <alignment horizontal="center"/>
    </xf>
    <xf numFmtId="0" fontId="20" fillId="31" borderId="12" xfId="0" applyFont="1" applyFill="1" applyBorder="1" applyAlignment="1" applyProtection="1">
      <alignment horizontal="center"/>
    </xf>
    <xf numFmtId="0" fontId="27" fillId="29" borderId="10" xfId="0" applyFont="1" applyFill="1" applyBorder="1" applyAlignment="1" applyProtection="1">
      <alignment horizontal="left" vertical="center" wrapText="1"/>
    </xf>
    <xf numFmtId="0" fontId="40" fillId="41" borderId="31" xfId="0" applyFont="1" applyFill="1" applyBorder="1" applyAlignment="1">
      <alignment horizontal="left" vertical="center" wrapText="1"/>
    </xf>
    <xf numFmtId="0" fontId="41" fillId="42" borderId="0" xfId="0" applyFont="1" applyFill="1" applyAlignment="1">
      <alignment horizontal="left" wrapText="1"/>
    </xf>
    <xf numFmtId="0" fontId="33" fillId="25" borderId="0" xfId="0" applyFont="1" applyFill="1" applyBorder="1" applyAlignment="1" applyProtection="1">
      <alignment horizontal="left" wrapText="1"/>
    </xf>
    <xf numFmtId="0" fontId="42" fillId="43" borderId="39" xfId="0" applyFont="1" applyFill="1" applyBorder="1" applyAlignment="1">
      <alignment horizontal="right" vertical="center"/>
    </xf>
    <xf numFmtId="0" fontId="44" fillId="42" borderId="0" xfId="0" applyFont="1" applyFill="1" applyAlignment="1">
      <alignment horizontal="center"/>
    </xf>
    <xf numFmtId="0" fontId="41" fillId="42" borderId="0" xfId="0" applyFont="1" applyFill="1" applyAlignment="1">
      <alignment horizontal="center" vertical="center"/>
    </xf>
    <xf numFmtId="0" fontId="41" fillId="42" borderId="34" xfId="0" applyFont="1" applyFill="1" applyBorder="1" applyAlignment="1">
      <alignment horizontal="center"/>
    </xf>
    <xf numFmtId="0" fontId="42" fillId="43" borderId="35" xfId="0" applyFont="1" applyFill="1" applyBorder="1" applyAlignment="1">
      <alignment horizontal="right" vertical="center"/>
    </xf>
    <xf numFmtId="0" fontId="42" fillId="43" borderId="32" xfId="0" applyFont="1" applyFill="1" applyBorder="1" applyAlignment="1">
      <alignment horizontal="left" vertical="center"/>
    </xf>
    <xf numFmtId="0" fontId="42" fillId="43" borderId="40" xfId="0" applyFont="1" applyFill="1" applyBorder="1" applyAlignment="1">
      <alignment horizontal="left" vertical="center"/>
    </xf>
    <xf numFmtId="0" fontId="20" fillId="31" borderId="13" xfId="0" applyFont="1" applyFill="1" applyBorder="1" applyAlignment="1" applyProtection="1">
      <alignment horizontal="left" vertical="center"/>
    </xf>
    <xf numFmtId="0" fontId="20" fillId="31" borderId="14" xfId="0" applyFont="1" applyFill="1" applyBorder="1" applyAlignment="1" applyProtection="1">
      <alignment horizontal="left" vertical="center"/>
    </xf>
    <xf numFmtId="0" fontId="20" fillId="31" borderId="12" xfId="0" applyFont="1" applyFill="1" applyBorder="1" applyAlignment="1" applyProtection="1">
      <alignment horizontal="left" vertical="center"/>
    </xf>
    <xf numFmtId="0" fontId="33" fillId="25" borderId="30" xfId="0" applyFont="1" applyFill="1" applyBorder="1" applyAlignment="1" applyProtection="1">
      <alignment horizontal="left" vertical="center" wrapText="1"/>
    </xf>
    <xf numFmtId="0" fontId="20" fillId="31" borderId="10" xfId="0" applyFont="1" applyFill="1" applyBorder="1" applyAlignment="1" applyProtection="1">
      <alignment horizontal="left" vertical="center" wrapText="1"/>
    </xf>
    <xf numFmtId="0" fontId="20" fillId="37" borderId="10" xfId="0" applyFont="1" applyFill="1" applyBorder="1" applyAlignment="1" applyProtection="1">
      <alignment horizontal="left" vertical="center" wrapText="1"/>
    </xf>
    <xf numFmtId="0" fontId="20" fillId="37" borderId="10" xfId="0" applyFont="1" applyFill="1" applyBorder="1" applyAlignment="1" applyProtection="1">
      <alignment horizontal="justify" vertical="center"/>
    </xf>
    <xf numFmtId="0" fontId="27" fillId="27" borderId="10" xfId="0" applyFont="1" applyFill="1" applyBorder="1" applyAlignment="1" applyProtection="1">
      <alignment horizontal="left" vertical="center" wrapText="1"/>
    </xf>
    <xf numFmtId="0" fontId="20" fillId="31" borderId="10" xfId="0" applyFont="1" applyFill="1" applyBorder="1" applyAlignment="1" applyProtection="1">
      <alignment horizontal="justify" vertical="center"/>
    </xf>
    <xf numFmtId="0" fontId="27" fillId="27" borderId="10" xfId="0" applyFont="1" applyFill="1" applyBorder="1" applyAlignment="1" applyProtection="1">
      <alignment horizontal="justify" vertical="center" wrapText="1"/>
    </xf>
    <xf numFmtId="0" fontId="21" fillId="38" borderId="13" xfId="0" applyFont="1" applyFill="1" applyBorder="1" applyAlignment="1" applyProtection="1">
      <alignment horizontal="left"/>
    </xf>
    <xf numFmtId="0" fontId="21" fillId="38" borderId="14" xfId="0" applyFont="1" applyFill="1" applyBorder="1" applyAlignment="1" applyProtection="1">
      <alignment horizontal="left"/>
    </xf>
    <xf numFmtId="0" fontId="21" fillId="38" borderId="12" xfId="0" applyFont="1" applyFill="1" applyBorder="1" applyAlignment="1" applyProtection="1">
      <alignment horizontal="left"/>
    </xf>
    <xf numFmtId="0" fontId="21" fillId="33" borderId="13" xfId="0" applyFont="1" applyFill="1" applyBorder="1" applyAlignment="1" applyProtection="1">
      <alignment horizontal="left"/>
    </xf>
    <xf numFmtId="0" fontId="21" fillId="33" borderId="14" xfId="0" applyFont="1" applyFill="1" applyBorder="1" applyAlignment="1" applyProtection="1">
      <alignment horizontal="left"/>
    </xf>
    <xf numFmtId="0" fontId="21" fillId="33" borderId="12" xfId="0" applyFont="1" applyFill="1" applyBorder="1" applyAlignment="1" applyProtection="1">
      <alignment horizontal="left"/>
    </xf>
    <xf numFmtId="0" fontId="20" fillId="38" borderId="10" xfId="0" applyFont="1" applyFill="1" applyBorder="1" applyAlignment="1" applyProtection="1">
      <alignment horizontal="center"/>
    </xf>
    <xf numFmtId="0" fontId="20" fillId="33" borderId="10" xfId="0" applyFont="1" applyFill="1" applyBorder="1" applyAlignment="1" applyProtection="1">
      <alignment horizontal="right"/>
    </xf>
    <xf numFmtId="0" fontId="35" fillId="0" borderId="0" xfId="0" applyFont="1" applyBorder="1" applyAlignment="1" applyProtection="1">
      <alignment horizontal="center"/>
    </xf>
    <xf numFmtId="0" fontId="20" fillId="33" borderId="10" xfId="0" applyFont="1" applyFill="1" applyBorder="1" applyAlignment="1" applyProtection="1">
      <alignment horizontal="left" vertical="center"/>
    </xf>
    <xf numFmtId="0" fontId="20" fillId="38" borderId="10" xfId="0" applyFont="1" applyFill="1" applyBorder="1" applyAlignment="1" applyProtection="1">
      <alignment horizontal="left" vertical="center"/>
    </xf>
    <xf numFmtId="0" fontId="20" fillId="31" borderId="10" xfId="0" applyFont="1" applyFill="1" applyBorder="1" applyAlignment="1" applyProtection="1">
      <alignment horizontal="center"/>
    </xf>
    <xf numFmtId="39" fontId="20" fillId="37" borderId="13" xfId="0" applyNumberFormat="1" applyFont="1" applyFill="1" applyBorder="1" applyAlignment="1" applyProtection="1">
      <alignment horizontal="left" vertical="center" wrapText="1"/>
    </xf>
    <xf numFmtId="39" fontId="20" fillId="37" borderId="14" xfId="0" applyNumberFormat="1" applyFont="1" applyFill="1" applyBorder="1" applyAlignment="1" applyProtection="1">
      <alignment horizontal="left" vertical="center" wrapText="1"/>
    </xf>
    <xf numFmtId="0" fontId="36" fillId="25" borderId="16" xfId="0" applyFont="1" applyFill="1" applyBorder="1" applyAlignment="1" applyProtection="1">
      <alignment horizontal="center" vertical="center"/>
    </xf>
    <xf numFmtId="0" fontId="27" fillId="29" borderId="14" xfId="0" applyFont="1" applyFill="1" applyBorder="1" applyAlignment="1" applyProtection="1">
      <alignment horizontal="left" vertical="center" wrapText="1"/>
    </xf>
    <xf numFmtId="39" fontId="20" fillId="37" borderId="12" xfId="0" applyNumberFormat="1" applyFont="1" applyFill="1" applyBorder="1" applyAlignment="1" applyProtection="1">
      <alignment horizontal="left" vertical="center" wrapText="1"/>
    </xf>
    <xf numFmtId="39" fontId="20" fillId="31" borderId="13" xfId="0" applyNumberFormat="1" applyFont="1" applyFill="1" applyBorder="1" applyAlignment="1" applyProtection="1">
      <alignment horizontal="left" vertical="center" wrapText="1"/>
    </xf>
    <xf numFmtId="39" fontId="20" fillId="31" borderId="14" xfId="0" applyNumberFormat="1" applyFont="1" applyFill="1" applyBorder="1" applyAlignment="1" applyProtection="1">
      <alignment horizontal="left" vertical="center" wrapText="1"/>
    </xf>
    <xf numFmtId="39" fontId="20" fillId="31" borderId="12" xfId="0" applyNumberFormat="1" applyFont="1" applyFill="1" applyBorder="1" applyAlignment="1" applyProtection="1">
      <alignment horizontal="left" vertical="center" wrapText="1"/>
    </xf>
    <xf numFmtId="0" fontId="33" fillId="25" borderId="14" xfId="0" applyFont="1" applyFill="1" applyBorder="1" applyAlignment="1" applyProtection="1">
      <alignment horizontal="justify" vertical="center" wrapText="1"/>
    </xf>
    <xf numFmtId="0" fontId="27" fillId="27" borderId="13" xfId="0" applyFont="1" applyFill="1" applyBorder="1" applyAlignment="1" applyProtection="1">
      <alignment horizontal="justify" vertical="center" wrapText="1"/>
    </xf>
    <xf numFmtId="0" fontId="27" fillId="27" borderId="12" xfId="0" applyFont="1" applyFill="1" applyBorder="1" applyAlignment="1" applyProtection="1">
      <alignment horizontal="justify" vertical="center" wrapText="1"/>
    </xf>
    <xf numFmtId="4" fontId="20" fillId="31" borderId="10" xfId="0" applyNumberFormat="1" applyFont="1" applyFill="1" applyBorder="1" applyAlignment="1" applyProtection="1">
      <alignment horizontal="left" vertical="center" wrapText="1"/>
    </xf>
    <xf numFmtId="0" fontId="26" fillId="31" borderId="10" xfId="0" applyFont="1" applyFill="1" applyBorder="1" applyAlignment="1" applyProtection="1">
      <alignment horizontal="left" vertical="center" wrapText="1" indent="1"/>
    </xf>
    <xf numFmtId="4" fontId="20" fillId="31" borderId="11" xfId="0" applyNumberFormat="1" applyFont="1" applyFill="1" applyBorder="1" applyAlignment="1" applyProtection="1">
      <alignment horizontal="left" vertical="center" wrapText="1"/>
    </xf>
    <xf numFmtId="0" fontId="27" fillId="36" borderId="11" xfId="0" applyFont="1" applyFill="1" applyBorder="1" applyAlignment="1" applyProtection="1">
      <alignment horizontal="left" vertical="center" wrapText="1"/>
    </xf>
    <xf numFmtId="0" fontId="26" fillId="37" borderId="10" xfId="0" applyFont="1" applyFill="1" applyBorder="1" applyAlignment="1" applyProtection="1">
      <alignment horizontal="left" vertical="center" wrapText="1" indent="1"/>
    </xf>
    <xf numFmtId="0" fontId="20" fillId="37" borderId="10" xfId="0" applyFont="1" applyFill="1" applyBorder="1" applyAlignment="1" applyProtection="1">
      <alignment horizontal="left" wrapText="1"/>
    </xf>
    <xf numFmtId="0" fontId="27" fillId="36" borderId="10" xfId="0" applyFont="1" applyFill="1" applyBorder="1" applyAlignment="1" applyProtection="1">
      <alignment horizontal="left" vertical="center" wrapText="1"/>
    </xf>
    <xf numFmtId="0" fontId="33" fillId="25" borderId="0" xfId="0" applyFont="1" applyFill="1" applyBorder="1" applyAlignment="1" applyProtection="1">
      <alignment horizontal="justify" vertical="center" wrapText="1"/>
    </xf>
    <xf numFmtId="0" fontId="20" fillId="37" borderId="13" xfId="0" applyFont="1" applyFill="1" applyBorder="1" applyAlignment="1" applyProtection="1">
      <alignment horizontal="center"/>
    </xf>
    <xf numFmtId="0" fontId="20" fillId="37" borderId="14" xfId="0" applyFont="1" applyFill="1" applyBorder="1" applyAlignment="1" applyProtection="1">
      <alignment horizontal="center"/>
    </xf>
    <xf numFmtId="0" fontId="20" fillId="37" borderId="12" xfId="0" applyFont="1" applyFill="1" applyBorder="1" applyAlignment="1" applyProtection="1">
      <alignment horizontal="center"/>
    </xf>
    <xf numFmtId="0" fontId="20" fillId="37" borderId="13" xfId="0" applyFont="1" applyFill="1" applyBorder="1" applyAlignment="1" applyProtection="1">
      <alignment horizontal="left"/>
    </xf>
    <xf numFmtId="0" fontId="20" fillId="37" borderId="12" xfId="0" applyFont="1" applyFill="1" applyBorder="1" applyAlignment="1" applyProtection="1">
      <alignment horizontal="left"/>
    </xf>
    <xf numFmtId="0" fontId="20" fillId="31" borderId="14" xfId="0" applyFont="1" applyFill="1" applyBorder="1" applyAlignment="1" applyProtection="1">
      <alignment horizontal="left"/>
    </xf>
    <xf numFmtId="39" fontId="20" fillId="37" borderId="11" xfId="0" applyNumberFormat="1" applyFont="1" applyFill="1" applyBorder="1" applyAlignment="1" applyProtection="1">
      <alignment horizontal="left" vertical="center" wrapText="1"/>
    </xf>
    <xf numFmtId="0" fontId="27" fillId="27" borderId="11" xfId="0" applyFont="1" applyFill="1" applyBorder="1" applyAlignment="1" applyProtection="1">
      <alignment horizontal="left" vertical="center"/>
    </xf>
    <xf numFmtId="0" fontId="27" fillId="27" borderId="17" xfId="0" applyFont="1" applyFill="1" applyBorder="1" applyAlignment="1" applyProtection="1">
      <alignment horizontal="left" vertical="center"/>
    </xf>
    <xf numFmtId="0" fontId="27" fillId="27" borderId="18" xfId="0" applyFont="1" applyFill="1" applyBorder="1" applyAlignment="1" applyProtection="1">
      <alignment horizontal="left" vertical="center"/>
    </xf>
    <xf numFmtId="0" fontId="27" fillId="27" borderId="19" xfId="0" applyFont="1" applyFill="1" applyBorder="1" applyAlignment="1" applyProtection="1">
      <alignment horizontal="left" vertical="center"/>
    </xf>
    <xf numFmtId="0" fontId="33" fillId="25" borderId="0" xfId="0" applyFont="1" applyFill="1" applyBorder="1" applyAlignment="1" applyProtection="1">
      <alignment horizontal="left" vertical="center" wrapText="1"/>
    </xf>
    <xf numFmtId="0" fontId="27" fillId="27" borderId="11" xfId="0" applyFont="1" applyFill="1" applyBorder="1" applyAlignment="1" applyProtection="1">
      <alignment horizontal="justify" vertical="center" wrapText="1"/>
    </xf>
    <xf numFmtId="0" fontId="27" fillId="28" borderId="13" xfId="0" applyFont="1" applyFill="1" applyBorder="1" applyAlignment="1" applyProtection="1">
      <alignment horizontal="center" vertical="center"/>
    </xf>
    <xf numFmtId="0" fontId="27" fillId="28" borderId="12" xfId="0" applyFont="1" applyFill="1" applyBorder="1" applyAlignment="1" applyProtection="1">
      <alignment horizontal="center" vertical="center"/>
    </xf>
    <xf numFmtId="0" fontId="38" fillId="30" borderId="13" xfId="0" applyFont="1" applyFill="1" applyBorder="1" applyAlignment="1" applyProtection="1">
      <alignment horizontal="left" vertical="center" wrapText="1"/>
    </xf>
    <xf numFmtId="0" fontId="38" fillId="30" borderId="12" xfId="0" applyFont="1" applyFill="1" applyBorder="1" applyAlignment="1" applyProtection="1">
      <alignment horizontal="left" vertical="center" wrapText="1"/>
    </xf>
    <xf numFmtId="0" fontId="20" fillId="31" borderId="13" xfId="0" applyFont="1" applyFill="1" applyBorder="1" applyAlignment="1" applyProtection="1">
      <alignment horizontal="justify" vertical="center" wrapText="1"/>
    </xf>
    <xf numFmtId="0" fontId="20" fillId="31" borderId="12" xfId="0" applyFont="1" applyFill="1" applyBorder="1" applyAlignment="1" applyProtection="1">
      <alignment horizontal="justify" vertical="center" wrapText="1"/>
    </xf>
    <xf numFmtId="0" fontId="20" fillId="30" borderId="13" xfId="0" applyFont="1" applyFill="1" applyBorder="1" applyAlignment="1" applyProtection="1">
      <alignment horizontal="left" vertical="center" wrapText="1"/>
    </xf>
    <xf numFmtId="0" fontId="20" fillId="30" borderId="12" xfId="0" applyFont="1" applyFill="1" applyBorder="1" applyAlignment="1" applyProtection="1">
      <alignment horizontal="left" vertical="center" wrapText="1"/>
    </xf>
    <xf numFmtId="0" fontId="20" fillId="37" borderId="13" xfId="0" applyFont="1" applyFill="1" applyBorder="1" applyAlignment="1" applyProtection="1">
      <alignment horizontal="justify" vertical="center" wrapText="1"/>
    </xf>
    <xf numFmtId="0" fontId="20" fillId="37" borderId="12" xfId="0" applyFont="1" applyFill="1" applyBorder="1" applyAlignment="1" applyProtection="1">
      <alignment horizontal="justify" vertical="center" wrapText="1"/>
    </xf>
    <xf numFmtId="0" fontId="34" fillId="25" borderId="16" xfId="0" applyFont="1" applyFill="1" applyBorder="1" applyAlignment="1" applyProtection="1">
      <alignment horizontal="center" vertical="center"/>
    </xf>
    <xf numFmtId="0" fontId="47" fillId="42" borderId="34" xfId="0" applyFont="1" applyFill="1" applyBorder="1" applyAlignment="1">
      <alignment horizontal="center" vertical="center" wrapText="1"/>
    </xf>
    <xf numFmtId="0" fontId="42" fillId="43" borderId="37" xfId="0" applyFont="1" applyFill="1" applyBorder="1" applyAlignment="1">
      <alignment horizontal="center" vertical="center"/>
    </xf>
    <xf numFmtId="0" fontId="42" fillId="43" borderId="38" xfId="0" applyFont="1" applyFill="1" applyBorder="1" applyAlignment="1">
      <alignment horizontal="center" vertical="center"/>
    </xf>
    <xf numFmtId="0" fontId="42" fillId="43" borderId="33" xfId="0" applyFont="1" applyFill="1" applyBorder="1" applyAlignment="1">
      <alignment horizontal="center" vertical="center"/>
    </xf>
    <xf numFmtId="0" fontId="27" fillId="27" borderId="13" xfId="0" applyFont="1" applyFill="1" applyBorder="1" applyAlignment="1">
      <alignment horizontal="center" vertical="center" wrapText="1"/>
    </xf>
    <xf numFmtId="0" fontId="27" fillId="27" borderId="12" xfId="0" applyFont="1" applyFill="1" applyBorder="1" applyAlignment="1">
      <alignment horizontal="center" vertical="center" wrapText="1"/>
    </xf>
    <xf numFmtId="0" fontId="27" fillId="28" borderId="21" xfId="0" applyFont="1" applyFill="1" applyBorder="1" applyAlignment="1" applyProtection="1">
      <alignment horizontal="center" vertical="center"/>
    </xf>
    <xf numFmtId="0" fontId="27" fillId="28" borderId="20" xfId="0" applyFont="1" applyFill="1" applyBorder="1" applyAlignment="1" applyProtection="1">
      <alignment horizontal="center" vertical="center"/>
    </xf>
    <xf numFmtId="0" fontId="27" fillId="28" borderId="22" xfId="0" applyFont="1" applyFill="1" applyBorder="1" applyAlignment="1" applyProtection="1">
      <alignment horizontal="center" vertical="center"/>
    </xf>
    <xf numFmtId="0" fontId="27" fillId="28" borderId="21" xfId="0" applyFont="1" applyFill="1" applyBorder="1" applyAlignment="1" applyProtection="1">
      <alignment horizontal="center" vertical="center" wrapText="1"/>
    </xf>
    <xf numFmtId="0" fontId="27" fillId="28" borderId="23" xfId="0" applyFont="1" applyFill="1" applyBorder="1" applyAlignment="1" applyProtection="1">
      <alignment horizontal="center" vertical="center" wrapText="1"/>
    </xf>
    <xf numFmtId="0" fontId="27" fillId="28" borderId="24" xfId="0" applyFont="1" applyFill="1" applyBorder="1" applyAlignment="1" applyProtection="1">
      <alignment horizontal="center" vertical="center" wrapText="1"/>
    </xf>
    <xf numFmtId="0" fontId="27" fillId="28" borderId="25" xfId="0" applyFont="1" applyFill="1" applyBorder="1" applyAlignment="1" applyProtection="1">
      <alignment horizontal="center" vertical="center" wrapText="1"/>
    </xf>
    <xf numFmtId="0" fontId="27" fillId="28" borderId="26" xfId="0" applyFont="1" applyFill="1" applyBorder="1" applyAlignment="1" applyProtection="1">
      <alignment horizontal="center" vertical="center" wrapText="1"/>
    </xf>
    <xf numFmtId="0" fontId="27" fillId="28" borderId="27" xfId="0" applyFont="1" applyFill="1" applyBorder="1" applyAlignment="1" applyProtection="1">
      <alignment horizontal="center" vertical="center" wrapText="1"/>
    </xf>
    <xf numFmtId="0" fontId="27" fillId="28" borderId="28" xfId="0" applyFont="1" applyFill="1" applyBorder="1" applyAlignment="1" applyProtection="1">
      <alignment horizontal="center" vertical="center" wrapText="1"/>
    </xf>
    <xf numFmtId="0" fontId="27" fillId="28" borderId="29" xfId="0" applyFont="1" applyFill="1" applyBorder="1" applyAlignment="1" applyProtection="1">
      <alignment horizontal="center" vertical="center" wrapText="1"/>
    </xf>
    <xf numFmtId="0" fontId="27" fillId="28" borderId="15" xfId="0" applyFont="1" applyFill="1" applyBorder="1" applyAlignment="1" applyProtection="1">
      <alignment horizontal="center" vertical="center" wrapText="1"/>
    </xf>
    <xf numFmtId="0" fontId="27" fillId="27" borderId="13" xfId="0" applyFont="1" applyFill="1" applyBorder="1" applyAlignment="1">
      <alignment horizontal="center" vertical="center"/>
    </xf>
    <xf numFmtId="0" fontId="27" fillId="27" borderId="12" xfId="0" applyFont="1" applyFill="1" applyBorder="1" applyAlignment="1">
      <alignment horizontal="center" vertical="center"/>
    </xf>
  </cellXfs>
  <cellStyles count="44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Entrada" xfId="29" builtinId="20" customBuiltin="1"/>
    <cellStyle name="Neutro" xfId="31" builtinId="28" customBuiltin="1"/>
    <cellStyle name="Normal" xfId="0" builtinId="0"/>
    <cellStyle name="Nota" xfId="32" builtinId="10" customBuiltin="1"/>
    <cellStyle name="Porcentagem" xfId="43" builtinId="5"/>
    <cellStyle name="Ruim" xfId="30" builtinId="27" customBuiltin="1"/>
    <cellStyle name="Saída" xfId="33" builtinId="21" customBuiltin="1"/>
    <cellStyle name="Texto de Aviso" xfId="34" builtinId="11" customBuiltin="1"/>
    <cellStyle name="Texto Explicativo" xfId="35" builtinId="53" customBuiltin="1"/>
    <cellStyle name="Título 1" xfId="36" builtinId="16" customBuiltin="1"/>
    <cellStyle name="Título 1 1" xfId="37" xr:uid="{00000000-0005-0000-0000-000025000000}"/>
    <cellStyle name="Título 1 1 1" xfId="38" xr:uid="{00000000-0005-0000-0000-000026000000}"/>
    <cellStyle name="Título 2" xfId="39" builtinId="17" customBuiltin="1"/>
    <cellStyle name="Título 3" xfId="40" builtinId="18" customBuiltin="1"/>
    <cellStyle name="Título 4" xfId="41" builtinId="19" customBuiltin="1"/>
    <cellStyle name="Total" xfId="42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ODELO-PLANILHA-VIGILANCIA%20-%20COM%20DAD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ERÇÃO-DE-DADOS"/>
      <sheetName val="INSERÇÃO(EQUIP_UNIF_MAT)"/>
      <sheetName val="DADOS-ESTATISTICOS"/>
      <sheetName val="ENCARGOS-SOCIAIS-E-TRABALHISTAS"/>
      <sheetName val="SUPERVISOR 44 H"/>
      <sheetName val="SUPERVISOR 12x36  DIURNO"/>
      <sheetName val="SUPERVISOR 12x36 - NOTURNO"/>
      <sheetName val="VIGILANTE 12x36  DIURNO"/>
      <sheetName val="VIGILANTE 12x36 - NOTURNO"/>
      <sheetName val="VIGILANTE 44 H"/>
      <sheetName val="VIGILANTE 44 H ÑLETAL"/>
      <sheetName val="QUADRO-RESUMO"/>
      <sheetName val="LIMITES-SEGES"/>
    </sheetNames>
    <sheetDataSet>
      <sheetData sheetId="0">
        <row r="19">
          <cell r="C19" t="str">
            <v>Supervisor 44 horas semanais</v>
          </cell>
        </row>
        <row r="20">
          <cell r="C20" t="str">
            <v>Supervisor 12x36 horas -diurno</v>
          </cell>
        </row>
        <row r="21">
          <cell r="C21" t="str">
            <v>Supervisor 12x36 horas - noturno</v>
          </cell>
        </row>
        <row r="22">
          <cell r="C22" t="str">
            <v>Vigilância 12x36 horas - diurno</v>
          </cell>
        </row>
        <row r="23">
          <cell r="C23" t="str">
            <v>Vigilância 12x36 horas - noturno</v>
          </cell>
        </row>
        <row r="24">
          <cell r="C24" t="str">
            <v>Vigilância 44 horas semanais</v>
          </cell>
        </row>
        <row r="25">
          <cell r="C25" t="str">
            <v>Vigilância 44 horas semanais - Ñ LETAL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F90"/>
  <sheetViews>
    <sheetView workbookViewId="0">
      <selection activeCell="E85" sqref="E85:E87"/>
    </sheetView>
  </sheetViews>
  <sheetFormatPr defaultRowHeight="16.5" x14ac:dyDescent="0.3"/>
  <cols>
    <col min="1" max="1" width="2.7109375" style="17" customWidth="1"/>
    <col min="2" max="2" width="8.85546875" style="17" customWidth="1"/>
    <col min="3" max="3" width="52.5703125" style="23" customWidth="1"/>
    <col min="4" max="4" width="7.85546875" style="23" customWidth="1"/>
    <col min="5" max="5" width="13.5703125" style="23" customWidth="1"/>
    <col min="6" max="6" width="15.42578125" style="23" bestFit="1" customWidth="1"/>
    <col min="7" max="16384" width="9.140625" style="17"/>
  </cols>
  <sheetData>
    <row r="1" spans="1:6" ht="20.25" x14ac:dyDescent="0.35">
      <c r="B1" s="234" t="s">
        <v>206</v>
      </c>
      <c r="C1" s="235"/>
      <c r="D1" s="235"/>
      <c r="E1" s="235"/>
      <c r="F1" s="236"/>
    </row>
    <row r="2" spans="1:6" ht="20.25" x14ac:dyDescent="0.35">
      <c r="B2" s="234" t="s">
        <v>207</v>
      </c>
      <c r="C2" s="235"/>
      <c r="D2" s="236"/>
      <c r="E2" s="134" t="s">
        <v>59</v>
      </c>
      <c r="F2" s="90" t="s">
        <v>208</v>
      </c>
    </row>
    <row r="3" spans="1:6" x14ac:dyDescent="0.3">
      <c r="B3" s="96"/>
      <c r="C3" s="96"/>
      <c r="D3" s="96"/>
      <c r="E3" s="96"/>
      <c r="F3" s="96"/>
    </row>
    <row r="4" spans="1:6" s="96" customFormat="1" ht="25.5" x14ac:dyDescent="0.5">
      <c r="B4" s="237" t="s">
        <v>113</v>
      </c>
      <c r="C4" s="237"/>
      <c r="D4" s="237"/>
      <c r="E4" s="237"/>
      <c r="F4" s="237"/>
    </row>
    <row r="5" spans="1:6" s="96" customFormat="1" ht="15.95" customHeight="1" x14ac:dyDescent="0.3">
      <c r="B5" s="238" t="s">
        <v>99</v>
      </c>
      <c r="C5" s="238"/>
      <c r="D5" s="238"/>
      <c r="E5" s="238"/>
      <c r="F5" s="238"/>
    </row>
    <row r="6" spans="1:6" s="96" customFormat="1" ht="15.95" customHeight="1" x14ac:dyDescent="0.3">
      <c r="B6" s="246" t="s">
        <v>35</v>
      </c>
      <c r="C6" s="246"/>
      <c r="D6" s="247" t="s">
        <v>211</v>
      </c>
      <c r="E6" s="247"/>
      <c r="F6" s="247"/>
    </row>
    <row r="7" spans="1:6" s="96" customFormat="1" ht="15.75" customHeight="1" x14ac:dyDescent="0.3">
      <c r="B7" s="250" t="s">
        <v>36</v>
      </c>
      <c r="C7" s="250"/>
      <c r="D7" s="251" t="s">
        <v>37</v>
      </c>
      <c r="E7" s="251"/>
      <c r="F7" s="28" t="s">
        <v>209</v>
      </c>
    </row>
    <row r="8" spans="1:6" s="96" customFormat="1" ht="15.75" customHeight="1" x14ac:dyDescent="0.3">
      <c r="B8" s="246" t="s">
        <v>115</v>
      </c>
      <c r="C8" s="246"/>
      <c r="D8" s="248" t="s">
        <v>208</v>
      </c>
      <c r="E8" s="249"/>
      <c r="F8" s="28" t="s">
        <v>210</v>
      </c>
    </row>
    <row r="9" spans="1:6" s="97" customFormat="1" ht="9.75" customHeight="1" x14ac:dyDescent="0.3">
      <c r="C9" s="15"/>
      <c r="D9" s="98"/>
      <c r="E9" s="98"/>
      <c r="F9" s="99"/>
    </row>
    <row r="10" spans="1:6" s="97" customFormat="1" ht="15.75" customHeight="1" x14ac:dyDescent="0.3">
      <c r="B10" s="238" t="s">
        <v>114</v>
      </c>
      <c r="C10" s="238"/>
      <c r="D10" s="238"/>
      <c r="E10" s="238"/>
      <c r="F10" s="238"/>
    </row>
    <row r="11" spans="1:6" s="96" customFormat="1" ht="18" customHeight="1" x14ac:dyDescent="0.3">
      <c r="B11" s="29" t="s">
        <v>2</v>
      </c>
      <c r="C11" s="246" t="s">
        <v>65</v>
      </c>
      <c r="D11" s="246"/>
      <c r="E11" s="246"/>
      <c r="F11" s="30" t="s">
        <v>208</v>
      </c>
    </row>
    <row r="12" spans="1:6" s="96" customFormat="1" ht="15.95" customHeight="1" x14ac:dyDescent="0.15">
      <c r="B12" s="1" t="s">
        <v>3</v>
      </c>
      <c r="C12" s="70" t="s">
        <v>38</v>
      </c>
      <c r="D12" s="252"/>
      <c r="E12" s="252"/>
      <c r="F12" s="252"/>
    </row>
    <row r="13" spans="1:6" s="96" customFormat="1" ht="15.95" customHeight="1" x14ac:dyDescent="0.3">
      <c r="B13" s="29" t="s">
        <v>4</v>
      </c>
      <c r="C13" s="246" t="s">
        <v>184</v>
      </c>
      <c r="D13" s="246"/>
      <c r="E13" s="246"/>
      <c r="F13" s="75"/>
    </row>
    <row r="14" spans="1:6" s="96" customFormat="1" ht="18.75" customHeight="1" x14ac:dyDescent="0.3">
      <c r="B14" s="1" t="s">
        <v>5</v>
      </c>
      <c r="C14" s="253" t="s">
        <v>39</v>
      </c>
      <c r="D14" s="254"/>
      <c r="E14" s="255"/>
      <c r="F14" s="28" t="s">
        <v>209</v>
      </c>
    </row>
    <row r="15" spans="1:6" s="96" customFormat="1" ht="15.95" customHeight="1" x14ac:dyDescent="0.3">
      <c r="B15" s="1" t="s">
        <v>6</v>
      </c>
      <c r="C15" s="246" t="s">
        <v>66</v>
      </c>
      <c r="D15" s="246"/>
      <c r="E15" s="246"/>
      <c r="F15" s="100">
        <v>12</v>
      </c>
    </row>
    <row r="16" spans="1:6" s="96" customFormat="1" ht="15.95" customHeight="1" x14ac:dyDescent="0.3">
      <c r="A16" s="97"/>
      <c r="B16" s="97"/>
      <c r="C16" s="15"/>
      <c r="D16" s="98"/>
      <c r="E16" s="98"/>
      <c r="F16" s="99"/>
    </row>
    <row r="17" spans="1:6" s="96" customFormat="1" x14ac:dyDescent="0.3">
      <c r="A17" s="97"/>
      <c r="B17" s="238" t="s">
        <v>116</v>
      </c>
      <c r="C17" s="238"/>
      <c r="D17" s="238"/>
      <c r="E17" s="238"/>
      <c r="F17" s="238"/>
    </row>
    <row r="18" spans="1:6" s="101" customFormat="1" ht="33" x14ac:dyDescent="0.2">
      <c r="B18" s="94" t="s">
        <v>190</v>
      </c>
      <c r="C18" s="94" t="s">
        <v>30</v>
      </c>
      <c r="D18" s="240" t="s">
        <v>117</v>
      </c>
      <c r="E18" s="241"/>
      <c r="F18" s="69" t="s">
        <v>118</v>
      </c>
    </row>
    <row r="19" spans="1:6" s="96" customFormat="1" ht="16.5" customHeight="1" x14ac:dyDescent="0.3">
      <c r="B19" s="29">
        <v>1</v>
      </c>
      <c r="C19" s="128" t="s">
        <v>245</v>
      </c>
      <c r="D19" s="244" t="s">
        <v>189</v>
      </c>
      <c r="E19" s="245"/>
      <c r="F19" s="92">
        <v>1</v>
      </c>
    </row>
    <row r="20" spans="1:6" s="96" customFormat="1" ht="16.5" customHeight="1" x14ac:dyDescent="0.3">
      <c r="B20" s="29">
        <v>2</v>
      </c>
      <c r="C20" s="129" t="s">
        <v>246</v>
      </c>
      <c r="D20" s="242" t="s">
        <v>189</v>
      </c>
      <c r="E20" s="243"/>
      <c r="F20" s="82">
        <v>1</v>
      </c>
    </row>
    <row r="21" spans="1:6" s="97" customFormat="1" ht="16.5" customHeight="1" x14ac:dyDescent="0.3">
      <c r="A21" s="96"/>
      <c r="B21" s="29">
        <v>3</v>
      </c>
      <c r="C21" s="128" t="s">
        <v>247</v>
      </c>
      <c r="D21" s="244" t="s">
        <v>189</v>
      </c>
      <c r="E21" s="245"/>
      <c r="F21" s="92">
        <v>1</v>
      </c>
    </row>
    <row r="22" spans="1:6" s="97" customFormat="1" ht="16.5" customHeight="1" x14ac:dyDescent="0.3">
      <c r="A22" s="96"/>
      <c r="B22" s="29">
        <v>4</v>
      </c>
      <c r="C22" s="129" t="s">
        <v>218</v>
      </c>
      <c r="D22" s="242" t="s">
        <v>189</v>
      </c>
      <c r="E22" s="243"/>
      <c r="F22" s="92">
        <v>40</v>
      </c>
    </row>
    <row r="23" spans="1:6" s="97" customFormat="1" ht="16.5" customHeight="1" x14ac:dyDescent="0.3">
      <c r="A23" s="96"/>
      <c r="B23" s="29">
        <v>5</v>
      </c>
      <c r="C23" s="128" t="s">
        <v>219</v>
      </c>
      <c r="D23" s="244" t="s">
        <v>189</v>
      </c>
      <c r="E23" s="245"/>
      <c r="F23" s="82">
        <v>40</v>
      </c>
    </row>
    <row r="24" spans="1:6" s="97" customFormat="1" ht="16.5" customHeight="1" x14ac:dyDescent="0.3">
      <c r="A24" s="96"/>
      <c r="B24" s="29">
        <v>6</v>
      </c>
      <c r="C24" s="129" t="s">
        <v>220</v>
      </c>
      <c r="D24" s="242" t="s">
        <v>189</v>
      </c>
      <c r="E24" s="243"/>
      <c r="F24" s="92">
        <v>27</v>
      </c>
    </row>
    <row r="25" spans="1:6" s="97" customFormat="1" ht="16.5" customHeight="1" x14ac:dyDescent="0.3">
      <c r="A25" s="96"/>
      <c r="B25" s="29">
        <v>7</v>
      </c>
      <c r="C25" s="128" t="s">
        <v>248</v>
      </c>
      <c r="D25" s="244" t="s">
        <v>189</v>
      </c>
      <c r="E25" s="245"/>
      <c r="F25" s="92">
        <v>6</v>
      </c>
    </row>
    <row r="26" spans="1:6" s="96" customFormat="1" ht="15.95" customHeight="1" x14ac:dyDescent="0.3">
      <c r="B26" s="102"/>
      <c r="C26" s="102"/>
      <c r="D26" s="102"/>
      <c r="E26" s="102"/>
      <c r="F26" s="102"/>
    </row>
    <row r="27" spans="1:6" s="96" customFormat="1" ht="15" customHeight="1" x14ac:dyDescent="0.3">
      <c r="B27" s="238" t="s">
        <v>119</v>
      </c>
      <c r="C27" s="238"/>
      <c r="D27" s="238"/>
      <c r="E27" s="238"/>
      <c r="F27" s="238"/>
    </row>
    <row r="28" spans="1:6" s="96" customFormat="1" ht="15" customHeight="1" x14ac:dyDescent="0.3">
      <c r="B28" s="29">
        <v>1</v>
      </c>
      <c r="C28" s="202" t="s">
        <v>62</v>
      </c>
      <c r="D28" s="202"/>
      <c r="E28" s="239" t="s">
        <v>140</v>
      </c>
      <c r="F28" s="239"/>
    </row>
    <row r="29" spans="1:6" s="96" customFormat="1" ht="15" customHeight="1" x14ac:dyDescent="0.3">
      <c r="A29" s="97"/>
      <c r="B29" s="29">
        <v>2</v>
      </c>
      <c r="C29" s="258" t="s">
        <v>249</v>
      </c>
      <c r="D29" s="259"/>
      <c r="E29" s="260"/>
      <c r="F29" s="141"/>
    </row>
    <row r="30" spans="1:6" s="96" customFormat="1" ht="15" customHeight="1" x14ac:dyDescent="0.3">
      <c r="A30" s="97"/>
      <c r="B30" s="29">
        <v>3</v>
      </c>
      <c r="C30" s="258" t="s">
        <v>250</v>
      </c>
      <c r="D30" s="259"/>
      <c r="E30" s="260"/>
      <c r="F30" s="142"/>
    </row>
    <row r="31" spans="1:6" s="96" customFormat="1" ht="15.95" customHeight="1" x14ac:dyDescent="0.3">
      <c r="B31" s="29">
        <v>4</v>
      </c>
      <c r="C31" s="59" t="s">
        <v>63</v>
      </c>
      <c r="D31" s="239"/>
      <c r="E31" s="239"/>
      <c r="F31" s="239"/>
    </row>
    <row r="32" spans="1:6" s="96" customFormat="1" ht="15.95" customHeight="1" x14ac:dyDescent="0.3">
      <c r="B32" s="29">
        <v>5</v>
      </c>
      <c r="C32" s="257" t="s">
        <v>64</v>
      </c>
      <c r="D32" s="257"/>
      <c r="E32" s="257"/>
      <c r="F32" s="30" t="s">
        <v>208</v>
      </c>
    </row>
    <row r="33" spans="1:6" s="96" customFormat="1" ht="15.95" customHeight="1" x14ac:dyDescent="0.3">
      <c r="B33" s="29">
        <v>6</v>
      </c>
      <c r="C33" s="202" t="s">
        <v>141</v>
      </c>
      <c r="D33" s="202"/>
      <c r="E33" s="202"/>
      <c r="F33" s="71"/>
    </row>
    <row r="34" spans="1:6" s="96" customFormat="1" x14ac:dyDescent="0.3">
      <c r="B34" s="32"/>
      <c r="C34" s="33"/>
      <c r="D34" s="33"/>
      <c r="E34" s="33"/>
      <c r="F34" s="103"/>
    </row>
    <row r="35" spans="1:6" s="96" customFormat="1" ht="25.5" x14ac:dyDescent="0.5">
      <c r="B35" s="104" t="s">
        <v>216</v>
      </c>
      <c r="C35" s="17"/>
      <c r="D35" s="17"/>
      <c r="E35" s="17"/>
      <c r="F35" s="17"/>
    </row>
    <row r="36" spans="1:6" x14ac:dyDescent="0.3">
      <c r="B36" s="54" t="s">
        <v>8</v>
      </c>
      <c r="E36" s="18"/>
      <c r="F36" s="18"/>
    </row>
    <row r="37" spans="1:6" x14ac:dyDescent="0.3">
      <c r="B37" s="1">
        <v>1</v>
      </c>
      <c r="C37" s="261" t="s">
        <v>9</v>
      </c>
      <c r="D37" s="261"/>
      <c r="E37" s="261"/>
      <c r="F37" s="5" t="s">
        <v>124</v>
      </c>
    </row>
    <row r="38" spans="1:6" x14ac:dyDescent="0.3">
      <c r="B38" s="1" t="s">
        <v>2</v>
      </c>
      <c r="C38" s="210" t="s">
        <v>251</v>
      </c>
      <c r="D38" s="210"/>
      <c r="E38" s="210"/>
      <c r="F38" s="189"/>
    </row>
    <row r="39" spans="1:6" x14ac:dyDescent="0.3">
      <c r="B39" s="1" t="s">
        <v>3</v>
      </c>
      <c r="C39" s="210" t="s">
        <v>252</v>
      </c>
      <c r="D39" s="210"/>
      <c r="E39" s="210"/>
      <c r="F39" s="189"/>
    </row>
    <row r="40" spans="1:6" x14ac:dyDescent="0.3">
      <c r="B40" s="1" t="s">
        <v>4</v>
      </c>
      <c r="C40" s="207" t="s">
        <v>84</v>
      </c>
      <c r="D40" s="208"/>
      <c r="E40" s="209"/>
      <c r="F40" s="190"/>
    </row>
    <row r="41" spans="1:6" x14ac:dyDescent="0.3">
      <c r="B41" s="1" t="s">
        <v>5</v>
      </c>
      <c r="C41" s="210" t="s">
        <v>86</v>
      </c>
      <c r="D41" s="210"/>
      <c r="E41" s="210"/>
      <c r="F41" s="190"/>
    </row>
    <row r="42" spans="1:6" x14ac:dyDescent="0.3">
      <c r="B42" s="1" t="s">
        <v>6</v>
      </c>
      <c r="C42" s="256" t="s">
        <v>200</v>
      </c>
      <c r="D42" s="256"/>
      <c r="E42" s="256"/>
      <c r="F42" s="83"/>
    </row>
    <row r="43" spans="1:6" x14ac:dyDescent="0.3">
      <c r="B43" s="1" t="s">
        <v>7</v>
      </c>
      <c r="C43" s="256" t="s">
        <v>201</v>
      </c>
      <c r="D43" s="256"/>
      <c r="E43" s="256"/>
      <c r="F43" s="83"/>
    </row>
    <row r="44" spans="1:6" x14ac:dyDescent="0.3">
      <c r="B44" s="1" t="s">
        <v>10</v>
      </c>
      <c r="C44" s="256" t="s">
        <v>202</v>
      </c>
      <c r="D44" s="256"/>
      <c r="E44" s="256"/>
      <c r="F44" s="83"/>
    </row>
    <row r="45" spans="1:6" s="105" customFormat="1" x14ac:dyDescent="0.3"/>
    <row r="46" spans="1:6" s="105" customFormat="1" x14ac:dyDescent="0.3">
      <c r="A46" s="17"/>
      <c r="B46" s="54" t="s">
        <v>73</v>
      </c>
      <c r="C46" s="97"/>
      <c r="D46" s="97"/>
      <c r="E46" s="97"/>
      <c r="F46" s="97"/>
    </row>
    <row r="47" spans="1:6" s="105" customFormat="1" ht="15" customHeight="1" x14ac:dyDescent="0.3">
      <c r="A47" s="17"/>
      <c r="B47" s="1" t="s">
        <v>93</v>
      </c>
      <c r="C47" s="203" t="s">
        <v>14</v>
      </c>
      <c r="D47" s="204"/>
      <c r="E47" s="5" t="s">
        <v>40</v>
      </c>
      <c r="F47" s="5" t="s">
        <v>125</v>
      </c>
    </row>
    <row r="48" spans="1:6" s="105" customFormat="1" x14ac:dyDescent="0.3">
      <c r="A48" s="17"/>
      <c r="B48" s="95" t="s">
        <v>2</v>
      </c>
      <c r="C48" s="202" t="s">
        <v>15</v>
      </c>
      <c r="D48" s="202"/>
      <c r="E48" s="109" t="s">
        <v>41</v>
      </c>
      <c r="F48" s="191"/>
    </row>
    <row r="49" spans="1:6" s="105" customFormat="1" x14ac:dyDescent="0.3">
      <c r="B49" s="95" t="s">
        <v>3</v>
      </c>
      <c r="C49" s="205" t="s">
        <v>72</v>
      </c>
      <c r="D49" s="206"/>
      <c r="E49" s="110" t="s">
        <v>41</v>
      </c>
      <c r="F49" s="191"/>
    </row>
    <row r="50" spans="1:6" x14ac:dyDescent="0.3">
      <c r="B50" s="130" t="s">
        <v>4</v>
      </c>
      <c r="C50" s="211" t="s">
        <v>203</v>
      </c>
      <c r="D50" s="212"/>
      <c r="E50" s="91"/>
      <c r="F50" s="83"/>
    </row>
    <row r="51" spans="1:6" x14ac:dyDescent="0.3">
      <c r="B51" s="130" t="s">
        <v>5</v>
      </c>
      <c r="C51" s="211" t="s">
        <v>204</v>
      </c>
      <c r="D51" s="212"/>
      <c r="E51" s="91"/>
      <c r="F51" s="83"/>
    </row>
    <row r="52" spans="1:6" x14ac:dyDescent="0.3">
      <c r="B52" s="130" t="s">
        <v>6</v>
      </c>
      <c r="C52" s="211" t="s">
        <v>205</v>
      </c>
      <c r="D52" s="212"/>
      <c r="E52" s="91"/>
      <c r="F52" s="83"/>
    </row>
    <row r="53" spans="1:6" s="105" customFormat="1" x14ac:dyDescent="0.3"/>
    <row r="54" spans="1:6" s="96" customFormat="1" x14ac:dyDescent="0.3">
      <c r="B54" s="54" t="s">
        <v>75</v>
      </c>
      <c r="C54" s="16"/>
      <c r="D54" s="26"/>
      <c r="E54" s="17"/>
      <c r="F54" s="17"/>
    </row>
    <row r="55" spans="1:6" s="96" customFormat="1" ht="15" customHeight="1" x14ac:dyDescent="0.3">
      <c r="B55" s="54" t="s">
        <v>104</v>
      </c>
      <c r="C55" s="16"/>
      <c r="D55" s="26"/>
      <c r="E55" s="24"/>
      <c r="F55" s="24"/>
    </row>
    <row r="56" spans="1:6" s="96" customFormat="1" x14ac:dyDescent="0.15">
      <c r="B56" s="1" t="s">
        <v>20</v>
      </c>
      <c r="C56" s="213" t="s">
        <v>105</v>
      </c>
      <c r="D56" s="214"/>
      <c r="E56" s="215"/>
      <c r="F56" s="5" t="s">
        <v>1</v>
      </c>
    </row>
    <row r="57" spans="1:6" x14ac:dyDescent="0.3">
      <c r="A57" s="96"/>
      <c r="B57" s="2" t="s">
        <v>2</v>
      </c>
      <c r="C57" s="217" t="s">
        <v>212</v>
      </c>
      <c r="D57" s="218"/>
      <c r="E57" s="219"/>
      <c r="F57" s="85"/>
    </row>
    <row r="58" spans="1:6" s="105" customFormat="1" x14ac:dyDescent="0.3"/>
    <row r="59" spans="1:6" x14ac:dyDescent="0.3">
      <c r="B59" s="54" t="s">
        <v>238</v>
      </c>
      <c r="C59" s="16"/>
      <c r="D59" s="26"/>
      <c r="E59" s="24"/>
      <c r="F59" s="24"/>
    </row>
    <row r="60" spans="1:6" x14ac:dyDescent="0.3">
      <c r="B60" s="1" t="s">
        <v>21</v>
      </c>
      <c r="C60" s="216" t="s">
        <v>237</v>
      </c>
      <c r="D60" s="216"/>
      <c r="E60" s="216"/>
      <c r="F60" s="5" t="s">
        <v>233</v>
      </c>
    </row>
    <row r="61" spans="1:6" x14ac:dyDescent="0.3">
      <c r="B61" s="1" t="s">
        <v>2</v>
      </c>
      <c r="C61" s="210" t="s">
        <v>128</v>
      </c>
      <c r="D61" s="210"/>
      <c r="E61" s="210"/>
      <c r="F61" s="84"/>
    </row>
    <row r="62" spans="1:6" ht="15" customHeight="1" x14ac:dyDescent="0.3">
      <c r="B62" s="1" t="s">
        <v>3</v>
      </c>
      <c r="C62" s="207" t="s">
        <v>136</v>
      </c>
      <c r="D62" s="208"/>
      <c r="E62" s="209"/>
      <c r="F62" s="84"/>
    </row>
    <row r="63" spans="1:6" s="105" customFormat="1" x14ac:dyDescent="0.3"/>
    <row r="64" spans="1:6" x14ac:dyDescent="0.3">
      <c r="B64" s="54" t="s">
        <v>79</v>
      </c>
      <c r="C64" s="16"/>
      <c r="D64" s="16"/>
      <c r="E64" s="24"/>
      <c r="F64" s="24"/>
    </row>
    <row r="65" spans="1:6" ht="15.75" customHeight="1" x14ac:dyDescent="0.3">
      <c r="B65" s="52">
        <v>5</v>
      </c>
      <c r="C65" s="223" t="s">
        <v>0</v>
      </c>
      <c r="D65" s="223"/>
      <c r="E65" s="223"/>
      <c r="F65" s="53" t="s">
        <v>13</v>
      </c>
    </row>
    <row r="66" spans="1:6" x14ac:dyDescent="0.3">
      <c r="B66" s="47" t="s">
        <v>2</v>
      </c>
      <c r="C66" s="224" t="s">
        <v>16</v>
      </c>
      <c r="D66" s="224"/>
      <c r="E66" s="224"/>
      <c r="F66" s="86">
        <f>UNIFORMES!H100</f>
        <v>0</v>
      </c>
    </row>
    <row r="67" spans="1:6" x14ac:dyDescent="0.3">
      <c r="B67" s="47" t="s">
        <v>3</v>
      </c>
      <c r="C67" s="225" t="s">
        <v>18</v>
      </c>
      <c r="D67" s="225"/>
      <c r="E67" s="225"/>
      <c r="F67" s="86">
        <f>UNIFORMES!J79</f>
        <v>0</v>
      </c>
    </row>
    <row r="68" spans="1:6" s="106" customFormat="1" x14ac:dyDescent="0.3">
      <c r="A68" s="17"/>
      <c r="B68" s="47" t="s">
        <v>4</v>
      </c>
      <c r="C68" s="226" t="s">
        <v>253</v>
      </c>
      <c r="D68" s="226"/>
      <c r="E68" s="226"/>
      <c r="F68" s="86">
        <f>UNIFORMES!J56</f>
        <v>0</v>
      </c>
    </row>
    <row r="69" spans="1:6" s="106" customFormat="1" x14ac:dyDescent="0.3">
      <c r="A69" s="17"/>
      <c r="B69" s="47" t="s">
        <v>5</v>
      </c>
      <c r="C69" s="262" t="s">
        <v>254</v>
      </c>
      <c r="D69" s="262"/>
      <c r="E69" s="262"/>
      <c r="F69" s="143">
        <f>UNIFORMES!J17</f>
        <v>0</v>
      </c>
    </row>
    <row r="70" spans="1:6" s="106" customFormat="1" x14ac:dyDescent="0.3">
      <c r="A70" s="17"/>
      <c r="B70" s="47" t="s">
        <v>6</v>
      </c>
      <c r="C70" s="226" t="s">
        <v>255</v>
      </c>
      <c r="D70" s="226"/>
      <c r="E70" s="226"/>
      <c r="F70" s="143">
        <f>UNIFORMES!J33</f>
        <v>0</v>
      </c>
    </row>
    <row r="71" spans="1:6" s="106" customFormat="1" x14ac:dyDescent="0.3">
      <c r="A71" s="17"/>
      <c r="B71" s="47" t="s">
        <v>7</v>
      </c>
      <c r="C71" s="262" t="s">
        <v>256</v>
      </c>
      <c r="D71" s="262"/>
      <c r="E71" s="262"/>
      <c r="F71" s="143">
        <f>UNIFORMES!J48</f>
        <v>0</v>
      </c>
    </row>
    <row r="72" spans="1:6" s="106" customFormat="1" x14ac:dyDescent="0.3">
      <c r="A72" s="17"/>
      <c r="B72" s="47" t="s">
        <v>10</v>
      </c>
      <c r="C72" s="226" t="s">
        <v>257</v>
      </c>
      <c r="D72" s="226"/>
      <c r="E72" s="226"/>
      <c r="F72" s="143">
        <f>UNIFORMES!J70</f>
        <v>0</v>
      </c>
    </row>
    <row r="73" spans="1:6" s="106" customFormat="1" x14ac:dyDescent="0.3">
      <c r="A73" s="17"/>
      <c r="B73" s="47" t="s">
        <v>11</v>
      </c>
      <c r="C73" s="256" t="s">
        <v>88</v>
      </c>
      <c r="D73" s="256"/>
      <c r="E73" s="256"/>
      <c r="F73" s="83"/>
    </row>
    <row r="74" spans="1:6" s="105" customFormat="1" x14ac:dyDescent="0.3"/>
    <row r="75" spans="1:6" s="107" customFormat="1" ht="16.5" customHeight="1" x14ac:dyDescent="0.3">
      <c r="A75" s="17"/>
      <c r="B75" s="264" t="s">
        <v>78</v>
      </c>
      <c r="C75" s="264"/>
      <c r="D75" s="264"/>
      <c r="E75" s="264"/>
      <c r="F75" s="264"/>
    </row>
    <row r="76" spans="1:6" s="108" customFormat="1" ht="16.5" customHeight="1" x14ac:dyDescent="0.3">
      <c r="A76" s="17"/>
      <c r="B76" s="1">
        <v>6</v>
      </c>
      <c r="C76" s="220" t="s">
        <v>22</v>
      </c>
      <c r="D76" s="221"/>
      <c r="E76" s="222"/>
      <c r="F76" s="5" t="s">
        <v>1</v>
      </c>
    </row>
    <row r="77" spans="1:6" s="108" customFormat="1" x14ac:dyDescent="0.3">
      <c r="A77" s="106"/>
      <c r="B77" s="1" t="s">
        <v>2</v>
      </c>
      <c r="C77" s="228" t="s">
        <v>80</v>
      </c>
      <c r="D77" s="229"/>
      <c r="E77" s="230"/>
      <c r="F77" s="201"/>
    </row>
    <row r="78" spans="1:6" s="108" customFormat="1" x14ac:dyDescent="0.3">
      <c r="A78" s="106"/>
      <c r="B78" s="2" t="s">
        <v>3</v>
      </c>
      <c r="C78" s="207" t="s">
        <v>34</v>
      </c>
      <c r="D78" s="208"/>
      <c r="E78" s="209"/>
      <c r="F78" s="201"/>
    </row>
    <row r="79" spans="1:6" s="108" customFormat="1" x14ac:dyDescent="0.3">
      <c r="A79" s="107"/>
      <c r="B79" s="34" t="s">
        <v>81</v>
      </c>
      <c r="C79" s="228" t="s">
        <v>25</v>
      </c>
      <c r="D79" s="229"/>
      <c r="E79" s="230">
        <f>PERC_PIS</f>
        <v>0</v>
      </c>
      <c r="F79" s="201"/>
    </row>
    <row r="80" spans="1:6" x14ac:dyDescent="0.3">
      <c r="B80" s="34" t="s">
        <v>82</v>
      </c>
      <c r="C80" s="207" t="s">
        <v>26</v>
      </c>
      <c r="D80" s="208"/>
      <c r="E80" s="209">
        <f>PERC_COFINS</f>
        <v>0</v>
      </c>
      <c r="F80" s="201"/>
    </row>
    <row r="81" spans="2:6" x14ac:dyDescent="0.3">
      <c r="B81" s="34" t="s">
        <v>83</v>
      </c>
      <c r="C81" s="228" t="s">
        <v>27</v>
      </c>
      <c r="D81" s="229"/>
      <c r="E81" s="230">
        <f>PERC_ISS</f>
        <v>0</v>
      </c>
      <c r="F81" s="201"/>
    </row>
    <row r="82" spans="2:6" s="105" customFormat="1" x14ac:dyDescent="0.3"/>
    <row r="83" spans="2:6" s="105" customFormat="1" x14ac:dyDescent="0.3">
      <c r="B83" s="263" t="s">
        <v>258</v>
      </c>
      <c r="C83" s="263"/>
      <c r="D83" s="263"/>
      <c r="E83" s="263"/>
      <c r="F83" s="263"/>
    </row>
    <row r="84" spans="2:6" s="105" customFormat="1" x14ac:dyDescent="0.3">
      <c r="B84" s="144" t="s">
        <v>93</v>
      </c>
      <c r="C84" s="231" t="s">
        <v>259</v>
      </c>
      <c r="D84" s="231"/>
      <c r="E84" s="145" t="s">
        <v>13</v>
      </c>
      <c r="F84" s="146"/>
    </row>
    <row r="85" spans="2:6" s="105" customFormat="1" x14ac:dyDescent="0.3">
      <c r="B85" s="147" t="s">
        <v>2</v>
      </c>
      <c r="C85" s="232" t="s">
        <v>260</v>
      </c>
      <c r="D85" s="232"/>
      <c r="E85" s="148"/>
      <c r="F85" s="146"/>
    </row>
    <row r="86" spans="2:6" s="105" customFormat="1" x14ac:dyDescent="0.3">
      <c r="B86" s="147" t="s">
        <v>3</v>
      </c>
      <c r="C86" s="233" t="s">
        <v>261</v>
      </c>
      <c r="D86" s="233"/>
      <c r="E86" s="148"/>
      <c r="F86" s="146"/>
    </row>
    <row r="87" spans="2:6" s="105" customFormat="1" x14ac:dyDescent="0.3">
      <c r="B87" s="147" t="s">
        <v>4</v>
      </c>
      <c r="C87" s="232" t="s">
        <v>262</v>
      </c>
      <c r="D87" s="232"/>
      <c r="E87" s="148"/>
      <c r="F87" s="146"/>
    </row>
    <row r="88" spans="2:6" s="105" customFormat="1" x14ac:dyDescent="0.3"/>
    <row r="89" spans="2:6" ht="20.25" x14ac:dyDescent="0.3">
      <c r="B89" s="36" t="s">
        <v>213</v>
      </c>
      <c r="C89" s="37"/>
      <c r="D89" s="37"/>
      <c r="E89" s="37"/>
      <c r="F89" s="38"/>
    </row>
    <row r="90" spans="2:6" ht="33.75" customHeight="1" x14ac:dyDescent="0.3">
      <c r="B90" s="227" t="s">
        <v>234</v>
      </c>
      <c r="C90" s="227"/>
      <c r="D90" s="227"/>
      <c r="E90" s="227"/>
      <c r="F90" s="227"/>
    </row>
  </sheetData>
  <mergeCells count="74">
    <mergeCell ref="C77:E77"/>
    <mergeCell ref="C73:E73"/>
    <mergeCell ref="B75:F75"/>
    <mergeCell ref="C29:E29"/>
    <mergeCell ref="C30:E30"/>
    <mergeCell ref="C39:E39"/>
    <mergeCell ref="D22:E22"/>
    <mergeCell ref="D23:E23"/>
    <mergeCell ref="D24:E24"/>
    <mergeCell ref="D25:E25"/>
    <mergeCell ref="C37:E37"/>
    <mergeCell ref="D31:F31"/>
    <mergeCell ref="C33:E33"/>
    <mergeCell ref="C32:E32"/>
    <mergeCell ref="C38:E38"/>
    <mergeCell ref="C43:E43"/>
    <mergeCell ref="C15:E15"/>
    <mergeCell ref="D7:E7"/>
    <mergeCell ref="B10:F10"/>
    <mergeCell ref="C11:E11"/>
    <mergeCell ref="D12:F12"/>
    <mergeCell ref="C14:E14"/>
    <mergeCell ref="B8:C8"/>
    <mergeCell ref="C13:E13"/>
    <mergeCell ref="B1:F1"/>
    <mergeCell ref="B2:D2"/>
    <mergeCell ref="B4:F4"/>
    <mergeCell ref="B5:F5"/>
    <mergeCell ref="C28:D28"/>
    <mergeCell ref="E28:F28"/>
    <mergeCell ref="D18:E18"/>
    <mergeCell ref="D20:E20"/>
    <mergeCell ref="D21:E21"/>
    <mergeCell ref="B27:F27"/>
    <mergeCell ref="D19:E19"/>
    <mergeCell ref="B6:C6"/>
    <mergeCell ref="D6:F6"/>
    <mergeCell ref="D8:E8"/>
    <mergeCell ref="B17:F17"/>
    <mergeCell ref="B7:C7"/>
    <mergeCell ref="C61:E61"/>
    <mergeCell ref="B90:F90"/>
    <mergeCell ref="C79:E79"/>
    <mergeCell ref="C81:E81"/>
    <mergeCell ref="C78:E78"/>
    <mergeCell ref="C80:E80"/>
    <mergeCell ref="C84:D84"/>
    <mergeCell ref="C85:D85"/>
    <mergeCell ref="C86:D86"/>
    <mergeCell ref="C87:D87"/>
    <mergeCell ref="C62:E62"/>
    <mergeCell ref="C69:E69"/>
    <mergeCell ref="C70:E70"/>
    <mergeCell ref="C71:E71"/>
    <mergeCell ref="C72:E72"/>
    <mergeCell ref="B83:F83"/>
    <mergeCell ref="C76:E76"/>
    <mergeCell ref="C65:E65"/>
    <mergeCell ref="C66:E66"/>
    <mergeCell ref="C67:E67"/>
    <mergeCell ref="C68:E68"/>
    <mergeCell ref="C52:D52"/>
    <mergeCell ref="C56:E56"/>
    <mergeCell ref="C50:D50"/>
    <mergeCell ref="C51:D51"/>
    <mergeCell ref="C60:E60"/>
    <mergeCell ref="C57:E57"/>
    <mergeCell ref="C48:D48"/>
    <mergeCell ref="C47:D47"/>
    <mergeCell ref="C49:D49"/>
    <mergeCell ref="C40:E40"/>
    <mergeCell ref="C41:E41"/>
    <mergeCell ref="C42:E42"/>
    <mergeCell ref="C44:E44"/>
  </mergeCells>
  <dataValidations count="9">
    <dataValidation type="whole" allowBlank="1" showInputMessage="1" showErrorMessage="1" errorTitle="Erro na inserção de dados." error="O percentual de ISS deve estar entre 2 e 5%, conforme o inciso I do artigo 8º e o caput do art. 8º-A da Lei Complementar nº 116/2003." sqref="F81" xr:uid="{0A0C946C-5366-47AC-990F-8123FBCD411E}">
      <formula1>2</formula1>
      <formula2>5</formula2>
    </dataValidation>
    <dataValidation type="decimal" errorStyle="warning" allowBlank="1" showInputMessage="1" showErrorMessage="1" errorTitle="Erro na inserção de dados." error="O percentual recomendado de lucro, para serviços de vigilância, é de 5,45%, conforme estudos realizados pela Auditoria Interna do MPU." sqref="F78" xr:uid="{5E926FD5-8307-4C37-86F8-68CDB3FAF002}">
      <formula1>0</formula1>
      <formula2>5.45</formula2>
    </dataValidation>
    <dataValidation type="decimal" errorStyle="warning" allowBlank="1" showInputMessage="1" showErrorMessage="1" errorTitle="Erro na inserção de dados." error="O percentual recomendado de custos indiretos, para serviços de vigilância, é de 4,85%, conforme estudos realizados pela Auditoria Interna do MPU." sqref="F77" xr:uid="{FD2C0C39-FBB7-4783-BDB9-C8B3CAFABB0B}">
      <formula1>0</formula1>
      <formula2>4.85</formula2>
    </dataValidation>
    <dataValidation type="whole" errorStyle="warning" operator="equal" allowBlank="1" showInputMessage="1" showErrorMessage="1" errorTitle="Atenção para a inclusão do item." error="Tem certeza que deseja incluir este item de custo e que o tempo de intervalo está de acordo com o previsto na CCT da categoria?" promptTitle="Intervalo Intrajornada" prompt="Segundo estudos da Audin-MPU, esse item não é usual nas planilhas do MPU. Verifique se realmente há necessidade de incluí-lo." sqref="F62" xr:uid="{00000000-0002-0000-0000-000006000000}">
      <formula1>0</formula1>
    </dataValidation>
    <dataValidation type="whole" errorStyle="warning" operator="equal" allowBlank="1" showInputMessage="1" showErrorMessage="1" errorTitle="Atenção para a inclusão do item." error="Tem certeza que deseja incluir este item de custo e que o percentual está de acordo com o previsto na CCT da categoria?" promptTitle="Intervalo Intrajornada" prompt="Segundo estudos da Audin-MPU, esse item não é usual nas planilhas do MPU. Verifique se realmente há necessidade de incluí-lo." sqref="F61" xr:uid="{00000000-0002-0000-0000-000007000000}">
      <formula1>0</formula1>
    </dataValidation>
    <dataValidation type="list" allowBlank="1" showInputMessage="1" showErrorMessage="1" sqref="F13" xr:uid="{00000000-0002-0000-0000-000008000000}">
      <formula1>"AC,AL,AP,AM,BA,CE,DF,ES,GO,MA,MG,MS,MT,PA,PB,PR,PE,PI,RJ,RN,RO,RR,RS,SC,SP,SE,TO"</formula1>
    </dataValidation>
    <dataValidation type="decimal" errorStyle="warning" operator="greaterThanOrEqual" allowBlank="1" showInputMessage="1" showErrorMessage="1" errorTitle="Atentar para o valor do salário." error="Tem certeza que o valor do salário-base é menor do que o salário mínimo vigente no país?" sqref="F38:F39" xr:uid="{2BA45C01-58AF-4AB0-B9CE-53047700FC2D}">
      <formula1>F33</formula1>
      <formula2>0</formula2>
    </dataValidation>
    <dataValidation type="decimal" errorStyle="warning" operator="equal" allowBlank="1" showInputMessage="1" showErrorMessage="1" errorTitle="Atentar para o percentual." error="Tem certeza que o percentual do PIS é diferente de 0,65%, previsto no art. 31 da Lei nº 10.833/2003?" sqref="F79" xr:uid="{5184403D-4AFC-44C4-A51F-E144E69640F1}">
      <formula1>0.65</formula1>
      <formula2>0</formula2>
    </dataValidation>
    <dataValidation type="whole" errorStyle="warning" operator="equal" allowBlank="1" showInputMessage="1" showErrorMessage="1" errorTitle="Atentar para o percentual." error="Tem certeza que o percentual do Cofins é diferente de 3%, previsto no art. 31 da Lei nº 10.833/2003?" sqref="F80" xr:uid="{CD5B4E2E-E4EC-4A69-BA6E-7FCA1F650D42}">
      <formula1>3</formula1>
      <formula2>0</formula2>
    </dataValidation>
  </dataValidations>
  <pageMargins left="0.17" right="0.17" top="0.31" bottom="0.68" header="0.31496062000000002" footer="0.31496062000000002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F103"/>
  <sheetViews>
    <sheetView topLeftCell="A14" zoomScaleNormal="100" zoomScaleSheetLayoutView="100" workbookViewId="0">
      <selection activeCell="F23" sqref="F23"/>
    </sheetView>
  </sheetViews>
  <sheetFormatPr defaultRowHeight="16.5" x14ac:dyDescent="0.3"/>
  <cols>
    <col min="1" max="1" width="2.7109375" style="17" customWidth="1"/>
    <col min="2" max="2" width="8.85546875" style="17" customWidth="1"/>
    <col min="3" max="3" width="52.5703125" style="23" customWidth="1"/>
    <col min="4" max="4" width="7.85546875" style="23" customWidth="1"/>
    <col min="5" max="5" width="13.5703125" style="23" customWidth="1"/>
    <col min="6" max="6" width="15.42578125" style="23" bestFit="1" customWidth="1"/>
    <col min="7" max="16384" width="9.140625" style="17"/>
  </cols>
  <sheetData>
    <row r="1" spans="2:6" ht="20.25" x14ac:dyDescent="0.35">
      <c r="B1" s="282" t="str">
        <f>RAMO</f>
        <v>RAMO:</v>
      </c>
      <c r="C1" s="283"/>
      <c r="D1" s="283"/>
      <c r="E1" s="283"/>
      <c r="F1" s="284"/>
    </row>
    <row r="2" spans="2:6" ht="20.25" x14ac:dyDescent="0.35">
      <c r="B2" s="285" t="str">
        <f>UG</f>
        <v>UNIDADE GESTORA (SIGLA):</v>
      </c>
      <c r="C2" s="286"/>
      <c r="D2" s="287"/>
      <c r="E2" s="111" t="s">
        <v>59</v>
      </c>
      <c r="F2" s="112" t="str">
        <f>DATA_DO_ORCAMENTO_ESTIMATIVO</f>
        <v>XX/XX/20XX</v>
      </c>
    </row>
    <row r="3" spans="2:6" s="96" customFormat="1" ht="25.5" x14ac:dyDescent="0.5">
      <c r="B3" s="237" t="s">
        <v>57</v>
      </c>
      <c r="C3" s="237"/>
      <c r="D3" s="237"/>
      <c r="E3" s="237"/>
      <c r="F3" s="237"/>
    </row>
    <row r="4" spans="2:6" s="96" customFormat="1" ht="15.95" customHeight="1" x14ac:dyDescent="0.3">
      <c r="B4" s="238" t="s">
        <v>99</v>
      </c>
      <c r="C4" s="238"/>
      <c r="D4" s="238"/>
      <c r="E4" s="238"/>
      <c r="F4" s="238"/>
    </row>
    <row r="5" spans="2:6" s="96" customFormat="1" ht="15.95" customHeight="1" x14ac:dyDescent="0.3">
      <c r="B5" s="246" t="s">
        <v>235</v>
      </c>
      <c r="C5" s="246"/>
      <c r="D5" s="288" t="str">
        <f>NUMERO_PROCESSO</f>
        <v>X.XX.XXX.XXXXXX/20XX-XX</v>
      </c>
      <c r="E5" s="288"/>
      <c r="F5" s="288"/>
    </row>
    <row r="6" spans="2:6" s="96" customFormat="1" ht="15.75" customHeight="1" x14ac:dyDescent="0.3">
      <c r="B6" s="250" t="s">
        <v>236</v>
      </c>
      <c r="C6" s="250"/>
      <c r="D6" s="289" t="str">
        <f>MODALIDADE_DE_LICITACAO</f>
        <v>Pregão nº</v>
      </c>
      <c r="E6" s="289"/>
      <c r="F6" s="116" t="str">
        <f>NUMERO_PREGAO</f>
        <v>XX/20XX</v>
      </c>
    </row>
    <row r="7" spans="2:6" s="97" customFormat="1" ht="15.75" customHeight="1" x14ac:dyDescent="0.3">
      <c r="B7" s="290" t="s">
        <v>60</v>
      </c>
      <c r="C7" s="290"/>
      <c r="D7" s="290"/>
      <c r="E7" s="290"/>
      <c r="F7" s="290"/>
    </row>
    <row r="8" spans="2:6" s="96" customFormat="1" ht="18" customHeight="1" x14ac:dyDescent="0.3">
      <c r="B8" s="29" t="s">
        <v>2</v>
      </c>
      <c r="C8" s="246" t="s">
        <v>65</v>
      </c>
      <c r="D8" s="246"/>
      <c r="E8" s="246"/>
      <c r="F8" s="117" t="str">
        <f>DATA_APRESENTACAO_PROPOSTA</f>
        <v>XX/XX/20XX</v>
      </c>
    </row>
    <row r="9" spans="2:6" s="96" customFormat="1" ht="15.95" customHeight="1" x14ac:dyDescent="0.15">
      <c r="B9" s="1" t="s">
        <v>3</v>
      </c>
      <c r="C9" s="70" t="s">
        <v>38</v>
      </c>
      <c r="D9" s="291" t="str">
        <f>IF(LOCAL_DE_EXECUCAO="","",LOCAL_DE_EXECUCAO)</f>
        <v/>
      </c>
      <c r="E9" s="291"/>
      <c r="F9" s="291"/>
    </row>
    <row r="10" spans="2:6" s="96" customFormat="1" ht="18.75" customHeight="1" x14ac:dyDescent="0.3">
      <c r="B10" s="29" t="s">
        <v>4</v>
      </c>
      <c r="C10" s="246" t="s">
        <v>39</v>
      </c>
      <c r="D10" s="246"/>
      <c r="E10" s="246"/>
      <c r="F10" s="118" t="str">
        <f>ACORDO_COLETIVO</f>
        <v>XX/20XX</v>
      </c>
    </row>
    <row r="11" spans="2:6" s="96" customFormat="1" ht="15.95" customHeight="1" x14ac:dyDescent="0.3">
      <c r="B11" s="1" t="s">
        <v>5</v>
      </c>
      <c r="C11" s="291" t="s">
        <v>66</v>
      </c>
      <c r="D11" s="291"/>
      <c r="E11" s="291"/>
      <c r="F11" s="119">
        <f>NUMERO_MESES_EXEC_CONTRATUAL</f>
        <v>12</v>
      </c>
    </row>
    <row r="12" spans="2:6" s="96" customFormat="1" x14ac:dyDescent="0.3">
      <c r="B12" s="1" t="s">
        <v>6</v>
      </c>
      <c r="C12" s="292" t="s">
        <v>87</v>
      </c>
      <c r="D12" s="292"/>
      <c r="E12" s="292"/>
      <c r="F12" s="100">
        <f>IF(QTDE_DE_POSTOS_12X36_SUP_NOT=0,"",QTDE_DE_POSTOS_12X36_SUP_NOT)</f>
        <v>1</v>
      </c>
    </row>
    <row r="13" spans="2:6" s="125" customFormat="1" ht="21" customHeight="1" x14ac:dyDescent="0.2">
      <c r="B13" s="123" t="s">
        <v>216</v>
      </c>
      <c r="C13" s="124"/>
      <c r="D13" s="124"/>
      <c r="E13" s="124"/>
      <c r="F13" s="124"/>
    </row>
    <row r="14" spans="2:6" s="96" customFormat="1" x14ac:dyDescent="0.3">
      <c r="B14" s="29">
        <v>1</v>
      </c>
      <c r="C14" s="202" t="s">
        <v>62</v>
      </c>
      <c r="D14" s="202"/>
      <c r="E14" s="239" t="str">
        <f>TIPO_DE_SERVICO</f>
        <v>Vigilância</v>
      </c>
      <c r="F14" s="239"/>
    </row>
    <row r="15" spans="2:6" s="97" customFormat="1" x14ac:dyDescent="0.3">
      <c r="B15" s="29">
        <v>2</v>
      </c>
      <c r="C15" s="31" t="s">
        <v>61</v>
      </c>
      <c r="D15" s="293">
        <f>CBO_SUPER</f>
        <v>0</v>
      </c>
      <c r="E15" s="293"/>
      <c r="F15" s="293"/>
    </row>
    <row r="16" spans="2:6" s="96" customFormat="1" ht="15" customHeight="1" x14ac:dyDescent="0.3">
      <c r="B16" s="29">
        <v>3</v>
      </c>
      <c r="C16" s="59" t="s">
        <v>63</v>
      </c>
      <c r="D16" s="239">
        <f>CATEGORIA_PROFISSIONAL</f>
        <v>0</v>
      </c>
      <c r="E16" s="239"/>
      <c r="F16" s="239"/>
    </row>
    <row r="17" spans="2:6" s="96" customFormat="1" ht="15" customHeight="1" x14ac:dyDescent="0.3">
      <c r="B17" s="29">
        <v>4</v>
      </c>
      <c r="C17" s="257" t="s">
        <v>64</v>
      </c>
      <c r="D17" s="257"/>
      <c r="E17" s="257"/>
      <c r="F17" s="133" t="str">
        <f>DATA_BASE_CATEGORIA</f>
        <v>XX/XX/20XX</v>
      </c>
    </row>
    <row r="18" spans="2:6" s="122" customFormat="1" ht="30" customHeight="1" x14ac:dyDescent="0.3">
      <c r="B18" s="296" t="s">
        <v>42</v>
      </c>
      <c r="C18" s="296"/>
      <c r="D18" s="296"/>
      <c r="E18" s="296"/>
      <c r="F18" s="296"/>
    </row>
    <row r="19" spans="2:6" x14ac:dyDescent="0.3">
      <c r="B19" s="216" t="s">
        <v>54</v>
      </c>
      <c r="C19" s="216"/>
      <c r="D19" s="216"/>
      <c r="E19" s="216"/>
      <c r="F19" s="115">
        <v>2</v>
      </c>
    </row>
    <row r="20" spans="2:6" x14ac:dyDescent="0.3">
      <c r="B20" s="54" t="s">
        <v>8</v>
      </c>
      <c r="E20" s="18"/>
      <c r="F20" s="18"/>
    </row>
    <row r="21" spans="2:6" x14ac:dyDescent="0.3">
      <c r="B21" s="1">
        <v>1</v>
      </c>
      <c r="C21" s="261" t="s">
        <v>9</v>
      </c>
      <c r="D21" s="261"/>
      <c r="E21" s="261"/>
      <c r="F21" s="5" t="s">
        <v>13</v>
      </c>
    </row>
    <row r="22" spans="2:6" x14ac:dyDescent="0.3">
      <c r="B22" s="1" t="s">
        <v>2</v>
      </c>
      <c r="C22" s="210" t="s">
        <v>94</v>
      </c>
      <c r="D22" s="210"/>
      <c r="E22" s="210"/>
      <c r="F22" s="60">
        <f>SALARIO_BASE_SUPER</f>
        <v>0</v>
      </c>
    </row>
    <row r="23" spans="2:6" x14ac:dyDescent="0.3">
      <c r="B23" s="1" t="s">
        <v>3</v>
      </c>
      <c r="C23" s="276" t="s">
        <v>96</v>
      </c>
      <c r="D23" s="276"/>
      <c r="E23" s="276"/>
      <c r="F23" s="14">
        <f>PERC_ADIC_PERIC%*SALARIO_BASE_SUPER</f>
        <v>0</v>
      </c>
    </row>
    <row r="24" spans="2:6" ht="15.75" customHeight="1" x14ac:dyDescent="0.3">
      <c r="B24" s="1" t="s">
        <v>4</v>
      </c>
      <c r="C24" s="310" t="s">
        <v>85</v>
      </c>
      <c r="D24" s="310"/>
      <c r="E24" s="310"/>
      <c r="F24" s="60">
        <f>((AL_1_A_SAL_BASE_12X36_NOT+AL_1_B_ADIC_PERIC_12X36_NOT)/DIVISOR_DE_HORAS)*DIAS_NA_SEMANA*MEDIA_ANUAL_DIAS_TRABALHO_MES*PERC_ADIC_NOT%</f>
        <v>0</v>
      </c>
    </row>
    <row r="25" spans="2:6" ht="15.75" customHeight="1" x14ac:dyDescent="0.3">
      <c r="B25" s="1" t="s">
        <v>5</v>
      </c>
      <c r="C25" s="276" t="s">
        <v>89</v>
      </c>
      <c r="D25" s="276"/>
      <c r="E25" s="276"/>
      <c r="F25" s="14">
        <f>((AL_1_A_SAL_BASE_12X36_NOT+AL_1_B_ADIC_PERIC_12X36_NOT)/DIVISOR_DE_HORAS)*((HORA_NORMAL-HORA_NOTURNA)/HORA_NOTURNA)*DIAS_NA_SEMANA*MEDIA_ANUAL_DIAS_TRABALHO_MES*PERC_ADIC_NOT%</f>
        <v>0</v>
      </c>
    </row>
    <row r="26" spans="2:6" x14ac:dyDescent="0.3">
      <c r="B26" s="1" t="s">
        <v>6</v>
      </c>
      <c r="C26" s="294" t="str">
        <f>OUTROS_REMUNERACAO_1_DESCRICAO</f>
        <v>Outras Remunerações 1 (Especificar)</v>
      </c>
      <c r="D26" s="295"/>
      <c r="E26" s="298"/>
      <c r="F26" s="60">
        <f>OUTROS_REMUNERACAO_1</f>
        <v>0</v>
      </c>
    </row>
    <row r="27" spans="2:6" x14ac:dyDescent="0.3">
      <c r="B27" s="1" t="s">
        <v>7</v>
      </c>
      <c r="C27" s="299" t="str">
        <f>OUTROS_REMUNERACAO_2_DESCRICAO</f>
        <v>Outras Remunerações 2 (Especificar)</v>
      </c>
      <c r="D27" s="300"/>
      <c r="E27" s="301"/>
      <c r="F27" s="14">
        <f>OUTROS_REMUNERACAO_2</f>
        <v>0</v>
      </c>
    </row>
    <row r="28" spans="2:6" x14ac:dyDescent="0.3">
      <c r="B28" s="1" t="s">
        <v>10</v>
      </c>
      <c r="C28" s="294" t="str">
        <f>OUTROS_REMUNERACAO_3_DESCRICAO</f>
        <v>Outras Remunerações 3 (Especificar)</v>
      </c>
      <c r="D28" s="295"/>
      <c r="E28" s="298"/>
      <c r="F28" s="60">
        <f>OUTROS_REMUNERACAO_3</f>
        <v>0</v>
      </c>
    </row>
    <row r="29" spans="2:6" x14ac:dyDescent="0.3">
      <c r="B29" s="311" t="s">
        <v>48</v>
      </c>
      <c r="C29" s="311"/>
      <c r="D29" s="311"/>
      <c r="E29" s="311"/>
      <c r="F29" s="43">
        <f>SUM(F22:F28)</f>
        <v>0</v>
      </c>
    </row>
    <row r="30" spans="2:6" x14ac:dyDescent="0.3">
      <c r="B30" s="54" t="s">
        <v>67</v>
      </c>
      <c r="E30" s="25"/>
      <c r="F30" s="25"/>
    </row>
    <row r="31" spans="2:6" x14ac:dyDescent="0.3">
      <c r="B31" s="54" t="s">
        <v>112</v>
      </c>
      <c r="C31" s="16"/>
      <c r="D31" s="26"/>
      <c r="E31" s="24"/>
      <c r="F31" s="24"/>
    </row>
    <row r="32" spans="2:6" x14ac:dyDescent="0.3">
      <c r="B32" s="1" t="s">
        <v>68</v>
      </c>
      <c r="C32" s="216" t="s">
        <v>95</v>
      </c>
      <c r="D32" s="216"/>
      <c r="E32" s="5" t="s">
        <v>1</v>
      </c>
      <c r="F32" s="5" t="s">
        <v>13</v>
      </c>
    </row>
    <row r="33" spans="2:6" x14ac:dyDescent="0.3">
      <c r="B33" s="1" t="s">
        <v>2</v>
      </c>
      <c r="C33" s="277" t="s">
        <v>49</v>
      </c>
      <c r="D33" s="277"/>
      <c r="E33" s="62">
        <f>PERC_DEC_TERC</f>
        <v>8.33</v>
      </c>
      <c r="F33" s="61">
        <f>PERC_DEC_TERC%*MOD_1_REMUNERACAO_12X36_NOT</f>
        <v>0</v>
      </c>
    </row>
    <row r="34" spans="2:6" s="21" customFormat="1" x14ac:dyDescent="0.3">
      <c r="B34" s="2" t="s">
        <v>3</v>
      </c>
      <c r="C34" s="276" t="s">
        <v>97</v>
      </c>
      <c r="D34" s="276"/>
      <c r="E34" s="41">
        <f>PERC_ADIC_FERIAS</f>
        <v>2.78</v>
      </c>
      <c r="F34" s="39">
        <f>PERC_ADIC_FERIAS%*MOD_1_REMUNERACAO_12X36_NOT</f>
        <v>0</v>
      </c>
    </row>
    <row r="35" spans="2:6" s="105" customFormat="1" x14ac:dyDescent="0.3">
      <c r="B35" s="220" t="s">
        <v>48</v>
      </c>
      <c r="C35" s="221"/>
      <c r="D35" s="221"/>
      <c r="E35" s="222"/>
      <c r="F35" s="44">
        <f>SUM(F33:F34)</f>
        <v>0</v>
      </c>
    </row>
    <row r="36" spans="2:6" s="105" customFormat="1" ht="31.5" customHeight="1" x14ac:dyDescent="0.3">
      <c r="B36" s="312" t="s">
        <v>70</v>
      </c>
      <c r="C36" s="312"/>
      <c r="D36" s="312"/>
      <c r="E36" s="312"/>
      <c r="F36" s="312"/>
    </row>
    <row r="37" spans="2:6" s="105" customFormat="1" ht="34.5" customHeight="1" x14ac:dyDescent="0.3">
      <c r="B37" s="1" t="s">
        <v>71</v>
      </c>
      <c r="C37" s="281" t="s">
        <v>98</v>
      </c>
      <c r="D37" s="281"/>
      <c r="E37" s="5" t="s">
        <v>1</v>
      </c>
      <c r="F37" s="5" t="s">
        <v>13</v>
      </c>
    </row>
    <row r="38" spans="2:6" x14ac:dyDescent="0.3">
      <c r="B38" s="1" t="s">
        <v>2</v>
      </c>
      <c r="C38" s="277" t="s">
        <v>43</v>
      </c>
      <c r="D38" s="277"/>
      <c r="E38" s="62">
        <f>PERC_INSS</f>
        <v>20</v>
      </c>
      <c r="F38" s="61">
        <f>PERC_INSS%*(MOD_1_REMUNERACAO_12X36_NOT+SUBMOD_2_1_DEC_TERC_ADIC_FERIAS_12X36_NOT)</f>
        <v>0</v>
      </c>
    </row>
    <row r="39" spans="2:6" s="96" customFormat="1" x14ac:dyDescent="0.15">
      <c r="B39" s="2" t="s">
        <v>3</v>
      </c>
      <c r="C39" s="276" t="s">
        <v>45</v>
      </c>
      <c r="D39" s="276"/>
      <c r="E39" s="49">
        <f>PERC_SAL_EDUCACAO</f>
        <v>2.5</v>
      </c>
      <c r="F39" s="39">
        <f>PERC_SAL_EDUCACAO%*(MOD_1_REMUNERACAO_12X36_NOT+SUBMOD_2_1_DEC_TERC_ADIC_FERIAS_12X36_NOT)</f>
        <v>0</v>
      </c>
    </row>
    <row r="40" spans="2:6" s="96" customFormat="1" x14ac:dyDescent="0.15">
      <c r="B40" s="2" t="s">
        <v>4</v>
      </c>
      <c r="C40" s="277" t="s">
        <v>92</v>
      </c>
      <c r="D40" s="277"/>
      <c r="E40" s="62">
        <f>PERC_RAT</f>
        <v>3</v>
      </c>
      <c r="F40" s="61">
        <f>PERC_RAT%*(MOD_1_REMUNERACAO_12X36_NOT+SUBMOD_2_1_DEC_TERC_ADIC_FERIAS_12X36_NOT)</f>
        <v>0</v>
      </c>
    </row>
    <row r="41" spans="2:6" s="96" customFormat="1" x14ac:dyDescent="0.15">
      <c r="B41" s="2" t="s">
        <v>5</v>
      </c>
      <c r="C41" s="276" t="s">
        <v>90</v>
      </c>
      <c r="D41" s="276"/>
      <c r="E41" s="41">
        <f>PERC_SESC</f>
        <v>1.5</v>
      </c>
      <c r="F41" s="39">
        <f>PERC_SESC%*(MOD_1_REMUNERACAO_12X36_NOT+SUBMOD_2_1_DEC_TERC_ADIC_FERIAS_12X36_NOT)</f>
        <v>0</v>
      </c>
    </row>
    <row r="42" spans="2:6" s="96" customFormat="1" x14ac:dyDescent="0.15">
      <c r="B42" s="2" t="s">
        <v>6</v>
      </c>
      <c r="C42" s="277" t="s">
        <v>91</v>
      </c>
      <c r="D42" s="277"/>
      <c r="E42" s="62">
        <f>PERC_SENAC</f>
        <v>1</v>
      </c>
      <c r="F42" s="61">
        <f>PERC_SENAC%*(MOD_1_REMUNERACAO_12X36_NOT+SUBMOD_2_1_DEC_TERC_ADIC_FERIAS_12X36_NOT)</f>
        <v>0</v>
      </c>
    </row>
    <row r="43" spans="2:6" s="97" customFormat="1" x14ac:dyDescent="0.15">
      <c r="B43" s="2" t="s">
        <v>7</v>
      </c>
      <c r="C43" s="276" t="s">
        <v>47</v>
      </c>
      <c r="D43" s="276"/>
      <c r="E43" s="49">
        <f>PERC_SEBRAE</f>
        <v>0.6</v>
      </c>
      <c r="F43" s="39">
        <f>PERC_SEBRAE%*(MOD_1_REMUNERACAO_12X36_NOT+SUBMOD_2_1_DEC_TERC_ADIC_FERIAS_12X36_NOT)</f>
        <v>0</v>
      </c>
    </row>
    <row r="44" spans="2:6" s="97" customFormat="1" x14ac:dyDescent="0.15">
      <c r="B44" s="2" t="s">
        <v>10</v>
      </c>
      <c r="C44" s="277" t="s">
        <v>44</v>
      </c>
      <c r="D44" s="277"/>
      <c r="E44" s="62">
        <f>PERC_INCRA</f>
        <v>0.2</v>
      </c>
      <c r="F44" s="61">
        <f>PERC_INCRA%*(MOD_1_REMUNERACAO_12X36_NOT+SUBMOD_2_1_DEC_TERC_ADIC_FERIAS_12X36_NOT)</f>
        <v>0</v>
      </c>
    </row>
    <row r="45" spans="2:6" x14ac:dyDescent="0.3">
      <c r="B45" s="2" t="s">
        <v>11</v>
      </c>
      <c r="C45" s="276" t="s">
        <v>46</v>
      </c>
      <c r="D45" s="276"/>
      <c r="E45" s="49">
        <f>PERC_FGTS</f>
        <v>8</v>
      </c>
      <c r="F45" s="39">
        <f>PERC_FGTS%*(MOD_1_REMUNERACAO_12X36_NOT+SUBMOD_2_1_DEC_TERC_ADIC_FERIAS_12X36_NOT)</f>
        <v>0</v>
      </c>
    </row>
    <row r="46" spans="2:6" x14ac:dyDescent="0.3">
      <c r="B46" s="220" t="s">
        <v>48</v>
      </c>
      <c r="C46" s="221"/>
      <c r="D46" s="221"/>
      <c r="E46" s="222"/>
      <c r="F46" s="45">
        <f>SUM(F38:F45)</f>
        <v>0</v>
      </c>
    </row>
    <row r="47" spans="2:6" ht="15.75" customHeight="1" x14ac:dyDescent="0.3">
      <c r="B47" s="54" t="s">
        <v>73</v>
      </c>
      <c r="C47" s="97"/>
      <c r="D47" s="97"/>
      <c r="E47" s="97"/>
      <c r="F47" s="97"/>
    </row>
    <row r="48" spans="2:6" ht="15.75" customHeight="1" x14ac:dyDescent="0.3">
      <c r="B48" s="1" t="s">
        <v>93</v>
      </c>
      <c r="C48" s="261" t="s">
        <v>14</v>
      </c>
      <c r="D48" s="261"/>
      <c r="E48" s="261"/>
      <c r="F48" s="5" t="s">
        <v>13</v>
      </c>
    </row>
    <row r="49" spans="2:6" x14ac:dyDescent="0.3">
      <c r="B49" s="29" t="s">
        <v>2</v>
      </c>
      <c r="C49" s="277" t="s">
        <v>15</v>
      </c>
      <c r="D49" s="277"/>
      <c r="E49" s="277"/>
      <c r="F49" s="61">
        <f>IF(((TRANSPORTE_POR_DIA*DIAS_TRABALHADOS_NO_MES_12X36)-(PERC_DESC_TRANSP_REMUNERACAO%*(AL_1_A_SAL_BASE_12X36_DIU/2)))&gt;0,((TRANSPORTE_POR_DIA*DIAS_TRABALHADOS_NO_MES_12X36)-(PERC_DESC_TRANSP_REMUNERACAO%*(AL_1_A_SAL_BASE_12X36_DIU/2))),0)</f>
        <v>0</v>
      </c>
    </row>
    <row r="50" spans="2:6" s="105" customFormat="1" x14ac:dyDescent="0.3">
      <c r="B50" s="29" t="s">
        <v>3</v>
      </c>
      <c r="C50" s="276" t="s">
        <v>72</v>
      </c>
      <c r="D50" s="276"/>
      <c r="E50" s="276"/>
      <c r="F50" s="39">
        <f>ALIMENTACAO_POR_DIA*DIAS_TRABALHADOS_NO_MES_12X36</f>
        <v>0</v>
      </c>
    </row>
    <row r="51" spans="2:6" s="105" customFormat="1" x14ac:dyDescent="0.3">
      <c r="B51" s="29" t="s">
        <v>4</v>
      </c>
      <c r="C51" s="294" t="str">
        <f>OUTROS_BENEFICIOS_1_DESCRICAO</f>
        <v>Outros Benefícios 1 (Especificar)</v>
      </c>
      <c r="D51" s="295"/>
      <c r="E51" s="298"/>
      <c r="F51" s="61">
        <f>OUTROS_BENEFICIOS_1</f>
        <v>0</v>
      </c>
    </row>
    <row r="52" spans="2:6" s="105" customFormat="1" x14ac:dyDescent="0.3">
      <c r="B52" s="29" t="s">
        <v>5</v>
      </c>
      <c r="C52" s="299" t="str">
        <f>OUTROS_BENEFICIOS_2_DESCRICAO</f>
        <v>Outros Benefícios 2 (Especificar)</v>
      </c>
      <c r="D52" s="300"/>
      <c r="E52" s="301"/>
      <c r="F52" s="39">
        <f>OUTROS_BENEFICIOS_2</f>
        <v>0</v>
      </c>
    </row>
    <row r="53" spans="2:6" s="105" customFormat="1" x14ac:dyDescent="0.3">
      <c r="B53" s="29" t="s">
        <v>6</v>
      </c>
      <c r="C53" s="294" t="str">
        <f>OUTROS_BENEFICIOS_3_DESCRICAO</f>
        <v>Outros Benefícios 3 (Especificar)</v>
      </c>
      <c r="D53" s="295"/>
      <c r="E53" s="298"/>
      <c r="F53" s="61">
        <f>OUTROS_BENEFICIOS_3</f>
        <v>0</v>
      </c>
    </row>
    <row r="54" spans="2:6" s="105" customFormat="1" ht="15" customHeight="1" x14ac:dyDescent="0.3">
      <c r="B54" s="311" t="s">
        <v>48</v>
      </c>
      <c r="C54" s="311"/>
      <c r="D54" s="311"/>
      <c r="E54" s="311"/>
      <c r="F54" s="43">
        <f>SUM(F49:F53)</f>
        <v>0</v>
      </c>
    </row>
    <row r="55" spans="2:6" s="105" customFormat="1" x14ac:dyDescent="0.3">
      <c r="B55" s="54" t="s">
        <v>74</v>
      </c>
      <c r="C55" s="16"/>
      <c r="D55" s="26"/>
      <c r="E55" s="24"/>
      <c r="F55" s="24"/>
    </row>
    <row r="56" spans="2:6" s="105" customFormat="1" ht="15" customHeight="1" x14ac:dyDescent="0.3">
      <c r="B56" s="1">
        <v>3</v>
      </c>
      <c r="C56" s="216" t="s">
        <v>50</v>
      </c>
      <c r="D56" s="216"/>
      <c r="E56" s="5" t="s">
        <v>1</v>
      </c>
      <c r="F56" s="5" t="s">
        <v>13</v>
      </c>
    </row>
    <row r="57" spans="2:6" s="105" customFormat="1" x14ac:dyDescent="0.3">
      <c r="B57" s="1" t="s">
        <v>2</v>
      </c>
      <c r="C57" s="278" t="s">
        <v>51</v>
      </c>
      <c r="D57" s="278"/>
      <c r="E57" s="62">
        <f>PERC_AVISO_PREVIO_IND</f>
        <v>0.28999999999999998</v>
      </c>
      <c r="F57" s="61">
        <f>PERC_AVISO_PREVIO_IND%*(MOD_1_REMUNERACAO_12X36_NOT+SUBMOD_2_1_DEC_TERC_ADIC_FERIAS_12X36_NOT+AL_2_2_FGTS_12X36_NOT+SUBMOD_2_3_BENEFICIOS_12X36_NOT)</f>
        <v>0</v>
      </c>
    </row>
    <row r="58" spans="2:6" s="105" customFormat="1" x14ac:dyDescent="0.3">
      <c r="B58" s="2" t="s">
        <v>3</v>
      </c>
      <c r="C58" s="280" t="s">
        <v>52</v>
      </c>
      <c r="D58" s="280"/>
      <c r="E58" s="49">
        <f>PERC_AVISO_PREVIO_TRAB</f>
        <v>1.1599999999999999</v>
      </c>
      <c r="F58" s="39">
        <f>PERC_AVISO_PREVIO_TRAB%*(MOD_1_REMUNERACAO_12X36_NOT+SUBMOD_2_1_DEC_TERC_ADIC_FERIAS_12X36_NOT+SUBMOD_2_2_GPS_FGTS_12X36_NOT+SUBMOD_2_3_BENEFICIOS_12X36_NOT)</f>
        <v>0</v>
      </c>
    </row>
    <row r="59" spans="2:6" s="96" customFormat="1" x14ac:dyDescent="0.15">
      <c r="B59" s="2" t="s">
        <v>4</v>
      </c>
      <c r="C59" s="278" t="s">
        <v>244</v>
      </c>
      <c r="D59" s="278"/>
      <c r="E59" s="62">
        <f>PERC_MULTA_FGTS_AV_PREV_TRAB</f>
        <v>0.04</v>
      </c>
      <c r="F59" s="61">
        <f>PERC_MULTA_FGTS_AV_PREV_TRAB%*(MOD_1_REMUNERACAO_12X36_NOT+SUBMOD_2_1_DEC_TERC_ADIC_FERIAS_12X36_NOT)</f>
        <v>0</v>
      </c>
    </row>
    <row r="60" spans="2:6" s="96" customFormat="1" x14ac:dyDescent="0.3">
      <c r="B60" s="220" t="s">
        <v>48</v>
      </c>
      <c r="C60" s="221"/>
      <c r="D60" s="221"/>
      <c r="E60" s="222"/>
      <c r="F60" s="44">
        <f>SUM(F57:F59)</f>
        <v>0</v>
      </c>
    </row>
    <row r="61" spans="2:6" ht="7.5" customHeight="1" x14ac:dyDescent="0.3">
      <c r="B61" s="20"/>
      <c r="C61" s="21"/>
      <c r="D61" s="22"/>
      <c r="E61" s="18"/>
      <c r="F61" s="18"/>
    </row>
    <row r="62" spans="2:6" s="96" customFormat="1" ht="15.95" customHeight="1" x14ac:dyDescent="0.3">
      <c r="B62" s="54" t="s">
        <v>75</v>
      </c>
      <c r="C62" s="16"/>
      <c r="D62" s="26"/>
      <c r="E62" s="17"/>
      <c r="F62" s="17"/>
    </row>
    <row r="63" spans="2:6" s="96" customFormat="1" ht="15.95" customHeight="1" x14ac:dyDescent="0.3">
      <c r="B63" s="54" t="s">
        <v>104</v>
      </c>
      <c r="C63" s="16"/>
      <c r="D63" s="26"/>
      <c r="E63" s="24"/>
      <c r="F63" s="24"/>
    </row>
    <row r="64" spans="2:6" s="96" customFormat="1" x14ac:dyDescent="0.15">
      <c r="B64" s="1" t="s">
        <v>20</v>
      </c>
      <c r="C64" s="279" t="s">
        <v>105</v>
      </c>
      <c r="D64" s="279"/>
      <c r="E64" s="5" t="s">
        <v>1</v>
      </c>
      <c r="F64" s="5" t="s">
        <v>13</v>
      </c>
    </row>
    <row r="65" spans="2:6" s="96" customFormat="1" ht="15.95" customHeight="1" x14ac:dyDescent="0.15">
      <c r="B65" s="2" t="s">
        <v>2</v>
      </c>
      <c r="C65" s="277" t="s">
        <v>106</v>
      </c>
      <c r="D65" s="277"/>
      <c r="E65" s="62">
        <f>PERC_SUBSTITUTO_FERIAS</f>
        <v>8.33</v>
      </c>
      <c r="F65" s="61">
        <f>PERC_SUBSTITUTO_FERIAS%*(MOD_1_REMUNERACAO_12X36_NOT+MOD_2_ENCARGOS_BENEFICIOS_12X36_NOT+MOD_3_PROVISAO_RESCISAO_12X36_NOT)</f>
        <v>0</v>
      </c>
    </row>
    <row r="66" spans="2:6" s="96" customFormat="1" ht="15.95" customHeight="1" x14ac:dyDescent="0.15">
      <c r="B66" s="2" t="s">
        <v>3</v>
      </c>
      <c r="C66" s="276" t="s">
        <v>107</v>
      </c>
      <c r="D66" s="276"/>
      <c r="E66" s="49">
        <f>PERC_SUBSTITUTO_AUSENCIAS_LEGAIS</f>
        <v>2.2200000000000002</v>
      </c>
      <c r="F66" s="39">
        <f>PERC_SUBSTITUTO_AUSENCIAS_LEGAIS%*(MOD_1_REMUNERACAO_12X36_NOT+MOD_2_ENCARGOS_BENEFICIOS_12X36_NOT+MOD_3_PROVISAO_RESCISAO_12X36_NOT)</f>
        <v>0</v>
      </c>
    </row>
    <row r="67" spans="2:6" s="96" customFormat="1" ht="15.95" customHeight="1" x14ac:dyDescent="0.15">
      <c r="B67" s="2" t="s">
        <v>4</v>
      </c>
      <c r="C67" s="277" t="s">
        <v>108</v>
      </c>
      <c r="D67" s="277"/>
      <c r="E67" s="62">
        <f>PERC_SUBSTITUTO_LICENCA_PATERNIDADE</f>
        <v>7.0000000000000007E-2</v>
      </c>
      <c r="F67" s="61">
        <f>PERC_SUBSTITUTO_LICENCA_PATERNIDADE%*(MOD_1_REMUNERACAO_12X36_NOT+MOD_2_ENCARGOS_BENEFICIOS_12X36_NOT+MOD_3_PROVISAO_RESCISAO_12X36_NOT)</f>
        <v>0</v>
      </c>
    </row>
    <row r="68" spans="2:6" s="96" customFormat="1" x14ac:dyDescent="0.15">
      <c r="B68" s="2" t="s">
        <v>5</v>
      </c>
      <c r="C68" s="276" t="s">
        <v>109</v>
      </c>
      <c r="D68" s="276"/>
      <c r="E68" s="49">
        <f>PERC_SUBSTITUTO_ACID_TRAB</f>
        <v>0.02</v>
      </c>
      <c r="F68" s="39">
        <f>PERC_SUBSTITUTO_ACID_TRAB%*(MOD_1_REMUNERACAO_12X36_NOT+MOD_2_ENCARGOS_BENEFICIOS_12X36_NOT+MOD_3_PROVISAO_RESCISAO_12X36_NOT)</f>
        <v>0</v>
      </c>
    </row>
    <row r="69" spans="2:6" s="96" customFormat="1" x14ac:dyDescent="0.15">
      <c r="B69" s="2" t="s">
        <v>6</v>
      </c>
      <c r="C69" s="277" t="s">
        <v>110</v>
      </c>
      <c r="D69" s="277"/>
      <c r="E69" s="62">
        <f>PERC_SUBSTITUTO_AFAST_MATERN</f>
        <v>0.04</v>
      </c>
      <c r="F69" s="61">
        <f>PERC_SUBSTITUTO_AFAST_MATERN%*(MOD_1_REMUNERACAO_12X36_NOT+MOD_2_ENCARGOS_BENEFICIOS_12X36_NOT+MOD_3_PROVISAO_RESCISAO_12X36_NOT)</f>
        <v>0</v>
      </c>
    </row>
    <row r="70" spans="2:6" s="96" customFormat="1" x14ac:dyDescent="0.15">
      <c r="B70" s="2" t="s">
        <v>7</v>
      </c>
      <c r="C70" s="305" t="str">
        <f>OUTRAS_AUSENCIAS_DESCRICAO</f>
        <v>Outras Ausências (Especificar - em %)</v>
      </c>
      <c r="D70" s="276"/>
      <c r="E70" s="56">
        <f>PERC_SUBSTITUTO_OUTRAS_AUSENCIAS</f>
        <v>0</v>
      </c>
      <c r="F70" s="39">
        <f>PERC_SUBSTITUTO_OUTRAS_AUSENCIAS%*(MOD_1_REMUNERACAO_12X36_NOT+MOD_2_ENCARGOS_BENEFICIOS_12X36_NOT+MOD_3_PROVISAO_RESCISAO_12X36_NOT)</f>
        <v>0</v>
      </c>
    </row>
    <row r="71" spans="2:6" s="96" customFormat="1" x14ac:dyDescent="0.3">
      <c r="B71" s="220" t="s">
        <v>48</v>
      </c>
      <c r="C71" s="221"/>
      <c r="D71" s="221"/>
      <c r="E71" s="222"/>
      <c r="F71" s="44">
        <f>SUM(F65:F70)</f>
        <v>0</v>
      </c>
    </row>
    <row r="72" spans="2:6" s="96" customFormat="1" ht="15" customHeight="1" x14ac:dyDescent="0.3">
      <c r="B72" s="54" t="s">
        <v>238</v>
      </c>
      <c r="C72" s="16"/>
      <c r="D72" s="26"/>
      <c r="E72" s="24"/>
      <c r="F72" s="24"/>
    </row>
    <row r="73" spans="2:6" s="96" customFormat="1" x14ac:dyDescent="0.15">
      <c r="B73" s="1" t="s">
        <v>21</v>
      </c>
      <c r="C73" s="216" t="s">
        <v>237</v>
      </c>
      <c r="D73" s="216"/>
      <c r="E73" s="216"/>
      <c r="F73" s="5" t="s">
        <v>13</v>
      </c>
    </row>
    <row r="74" spans="2:6" s="96" customFormat="1" x14ac:dyDescent="0.15">
      <c r="B74" s="1" t="s">
        <v>2</v>
      </c>
      <c r="C74" s="277" t="s">
        <v>111</v>
      </c>
      <c r="D74" s="277"/>
      <c r="E74" s="277"/>
      <c r="F74" s="60">
        <f>((MOD_1_REMUNERACAO_12X36_NOT+MOD_2_ENCARGOS_BENEFICIOS_12X36_NOT+MOD_3_PROVISAO_RESCISAO_12X36_NOT)/DIVISOR_DE_HORAS)*((TEMPO_INTERVALO_REFEICAO/HORA_NORMAL)+PERC_HORA_EXTRA%)*DIAS_TRABALHADOS_NO_MES_12X36</f>
        <v>0</v>
      </c>
    </row>
    <row r="75" spans="2:6" s="96" customFormat="1" x14ac:dyDescent="0.3">
      <c r="B75" s="216" t="s">
        <v>48</v>
      </c>
      <c r="C75" s="216"/>
      <c r="D75" s="216"/>
      <c r="E75" s="216"/>
      <c r="F75" s="44">
        <f>SUM(F74)</f>
        <v>0</v>
      </c>
    </row>
    <row r="76" spans="2:6" ht="7.5" customHeight="1" x14ac:dyDescent="0.3">
      <c r="B76" s="20"/>
      <c r="C76" s="21"/>
      <c r="D76" s="22"/>
      <c r="E76" s="18"/>
      <c r="F76" s="18"/>
    </row>
    <row r="77" spans="2:6" x14ac:dyDescent="0.3">
      <c r="B77" s="54" t="s">
        <v>79</v>
      </c>
      <c r="C77" s="16"/>
      <c r="D77" s="16"/>
      <c r="E77" s="24"/>
      <c r="F77" s="24"/>
    </row>
    <row r="78" spans="2:6" ht="15.75" customHeight="1" x14ac:dyDescent="0.3">
      <c r="B78" s="52">
        <v>5</v>
      </c>
      <c r="C78" s="223" t="s">
        <v>0</v>
      </c>
      <c r="D78" s="223"/>
      <c r="E78" s="223"/>
      <c r="F78" s="53" t="s">
        <v>13</v>
      </c>
    </row>
    <row r="79" spans="2:6" x14ac:dyDescent="0.3">
      <c r="B79" s="47" t="s">
        <v>2</v>
      </c>
      <c r="C79" s="224" t="s">
        <v>16</v>
      </c>
      <c r="D79" s="224"/>
      <c r="E79" s="224"/>
      <c r="F79" s="63">
        <f>UNIFORMES</f>
        <v>0</v>
      </c>
    </row>
    <row r="80" spans="2:6" x14ac:dyDescent="0.3">
      <c r="B80" s="47" t="s">
        <v>3</v>
      </c>
      <c r="C80" s="225" t="s">
        <v>18</v>
      </c>
      <c r="D80" s="225"/>
      <c r="E80" s="225"/>
      <c r="F80" s="50">
        <f>MATERIAIS</f>
        <v>0</v>
      </c>
    </row>
    <row r="81" spans="2:6" x14ac:dyDescent="0.3">
      <c r="B81" s="47" t="s">
        <v>4</v>
      </c>
      <c r="C81" s="224" t="s">
        <v>17</v>
      </c>
      <c r="D81" s="224"/>
      <c r="E81" s="224"/>
      <c r="F81" s="63">
        <f>EQUIPAMENTOS_SUPERVISORES</f>
        <v>0</v>
      </c>
    </row>
    <row r="82" spans="2:6" x14ac:dyDescent="0.3">
      <c r="B82" s="47" t="s">
        <v>5</v>
      </c>
      <c r="C82" s="307" t="str">
        <f>OUTROS_INSUMOS_DESCRICAO</f>
        <v>Outros (Especificar)</v>
      </c>
      <c r="D82" s="225"/>
      <c r="E82" s="225"/>
      <c r="F82" s="50">
        <f>OUTROS_INSUMOS</f>
        <v>0</v>
      </c>
    </row>
    <row r="83" spans="2:6" x14ac:dyDescent="0.3">
      <c r="B83" s="308" t="s">
        <v>48</v>
      </c>
      <c r="C83" s="308"/>
      <c r="D83" s="308"/>
      <c r="E83" s="308"/>
      <c r="F83" s="46">
        <f>SUM(F79:F82)</f>
        <v>0</v>
      </c>
    </row>
    <row r="84" spans="2:6" ht="7.5" customHeight="1" x14ac:dyDescent="0.3">
      <c r="B84" s="20"/>
      <c r="C84" s="21"/>
      <c r="D84" s="22"/>
      <c r="E84" s="18"/>
      <c r="F84" s="18"/>
    </row>
    <row r="85" spans="2:6" ht="15" customHeight="1" x14ac:dyDescent="0.3">
      <c r="B85" s="264" t="s">
        <v>78</v>
      </c>
      <c r="C85" s="264"/>
      <c r="D85" s="264"/>
      <c r="E85" s="264"/>
      <c r="F85" s="264"/>
    </row>
    <row r="86" spans="2:6" x14ac:dyDescent="0.3">
      <c r="B86" s="1">
        <v>6</v>
      </c>
      <c r="C86" s="216" t="s">
        <v>22</v>
      </c>
      <c r="D86" s="216"/>
      <c r="E86" s="5" t="s">
        <v>1</v>
      </c>
      <c r="F86" s="5" t="s">
        <v>13</v>
      </c>
    </row>
    <row r="87" spans="2:6" x14ac:dyDescent="0.3">
      <c r="B87" s="1" t="s">
        <v>2</v>
      </c>
      <c r="C87" s="277" t="s">
        <v>80</v>
      </c>
      <c r="D87" s="277"/>
      <c r="E87" s="64">
        <f>PERC_CUSTOS_INDIRETOS</f>
        <v>0</v>
      </c>
      <c r="F87" s="61">
        <f>PERC_CUSTOS_INDIRETOS%*(MOD_1_REMUNERACAO_12X36_NOT+MOD_2_ENCARGOS_BENEFICIOS_12X36_NOT+MOD_3_PROVISAO_RESCISAO_12X36_NOT+MOD_4_CUSTO_REPOSICAO_12X36_NOT+MOD_5_INSUMOS_12X36_NOT)</f>
        <v>0</v>
      </c>
    </row>
    <row r="88" spans="2:6" ht="15.75" customHeight="1" x14ac:dyDescent="0.3">
      <c r="B88" s="2" t="s">
        <v>3</v>
      </c>
      <c r="C88" s="276" t="s">
        <v>34</v>
      </c>
      <c r="D88" s="276"/>
      <c r="E88" s="51">
        <f>PERC_LUCRO</f>
        <v>0</v>
      </c>
      <c r="F88" s="39">
        <f>PERC_LUCRO%*(MOD_1_REMUNERACAO_12X36_NOT+MOD_2_ENCARGOS_BENEFICIOS_12X36_NOT+MOD_3_PROVISAO_RESCISAO_12X36_NOT+MOD_4_CUSTO_REPOSICAO_12X36_NOT+MOD_5_INSUMOS_12X36_NOT+AL_6_A_CUSTOS_INDIRETOS_12X36_NOT)</f>
        <v>0</v>
      </c>
    </row>
    <row r="89" spans="2:6" x14ac:dyDescent="0.3">
      <c r="B89" s="2" t="s">
        <v>4</v>
      </c>
      <c r="C89" s="277" t="s">
        <v>23</v>
      </c>
      <c r="D89" s="277"/>
      <c r="E89" s="64">
        <f>SUM(E90:E92)</f>
        <v>0</v>
      </c>
      <c r="F89" s="61">
        <f>SUM(F90:F92)</f>
        <v>0</v>
      </c>
    </row>
    <row r="90" spans="2:6" ht="15.75" customHeight="1" x14ac:dyDescent="0.3">
      <c r="B90" s="34" t="s">
        <v>81</v>
      </c>
      <c r="C90" s="306" t="s">
        <v>25</v>
      </c>
      <c r="D90" s="306"/>
      <c r="E90" s="35">
        <f>PERC_PIS</f>
        <v>0</v>
      </c>
      <c r="F90" s="66">
        <f>((MOD_1_REMUNERACAO_12X36_NOT+MOD_2_ENCARGOS_BENEFICIOS_12X36_NOT+MOD_3_PROVISAO_RESCISAO_12X36_NOT+MOD_4_CUSTO_REPOSICAO_12X36_NOT+MOD_5_INSUMOS_12X36_NOT+AL_6_A_CUSTOS_INDIRETOS_12X36_NOT+AL_6_B_LUCRO_12X36_NOT)*PERC_PIS%)/(1-PERC_TRIBUTOS%)</f>
        <v>0</v>
      </c>
    </row>
    <row r="91" spans="2:6" x14ac:dyDescent="0.3">
      <c r="B91" s="34" t="s">
        <v>82</v>
      </c>
      <c r="C91" s="309" t="s">
        <v>26</v>
      </c>
      <c r="D91" s="309"/>
      <c r="E91" s="65">
        <f>PERC_COFINS</f>
        <v>0</v>
      </c>
      <c r="F91" s="67">
        <f>((MOD_1_REMUNERACAO_12X36_NOT+MOD_2_ENCARGOS_BENEFICIOS_12X36_NOT+MOD_3_PROVISAO_RESCISAO_12X36_NOT+MOD_4_CUSTO_REPOSICAO_12X36_NOT+MOD_5_INSUMOS_12X36_NOT+AL_6_A_CUSTOS_INDIRETOS_12X36_NOT+AL_6_B_LUCRO_12X36_NOT)*PERC_COFINS%)/(1-PERC_TRIBUTOS%)</f>
        <v>0</v>
      </c>
    </row>
    <row r="92" spans="2:6" s="106" customFormat="1" x14ac:dyDescent="0.3">
      <c r="B92" s="34" t="s">
        <v>83</v>
      </c>
      <c r="C92" s="306" t="s">
        <v>27</v>
      </c>
      <c r="D92" s="306"/>
      <c r="E92" s="35">
        <f>PERC_ISS</f>
        <v>0</v>
      </c>
      <c r="F92" s="66">
        <f>((MOD_1_REMUNERACAO_12X36_NOT+MOD_2_ENCARGOS_BENEFICIOS_12X36_NOT+MOD_3_PROVISAO_RESCISAO_12X36_NOT+MOD_4_CUSTO_REPOSICAO_12X36_NOT+MOD_5_INSUMOS_12X36_NOT+AL_6_A_CUSTOS_INDIRETOS_12X36_NOT+AL_6_B_LUCRO_12X36_NOT)*PERC_ISS%)/(1-PERC_TRIBUTOS%)</f>
        <v>0</v>
      </c>
    </row>
    <row r="93" spans="2:6" s="106" customFormat="1" x14ac:dyDescent="0.3">
      <c r="B93" s="220" t="s">
        <v>48</v>
      </c>
      <c r="C93" s="221"/>
      <c r="D93" s="221"/>
      <c r="E93" s="222"/>
      <c r="F93" s="40">
        <f>AL_6_A_CUSTOS_INDIRETOS_12X36_NOT+AL_6_B_LUCRO_12X36_NOT+AL_6_C_TRIBUTOS_12X36_NOT</f>
        <v>0</v>
      </c>
    </row>
    <row r="94" spans="2:6" s="106" customFormat="1" ht="20.25" x14ac:dyDescent="0.3">
      <c r="B94" s="55" t="s">
        <v>55</v>
      </c>
      <c r="C94" s="19"/>
      <c r="D94" s="19"/>
      <c r="E94" s="19"/>
      <c r="F94" s="27"/>
    </row>
    <row r="95" spans="2:6" s="107" customFormat="1" ht="16.5" customHeight="1" x14ac:dyDescent="0.3">
      <c r="B95" s="2" t="s">
        <v>100</v>
      </c>
      <c r="C95" s="213" t="s">
        <v>101</v>
      </c>
      <c r="D95" s="214"/>
      <c r="E95" s="215"/>
      <c r="F95" s="5" t="s">
        <v>19</v>
      </c>
    </row>
    <row r="96" spans="2:6" s="106" customFormat="1" x14ac:dyDescent="0.3">
      <c r="B96" s="1">
        <v>1</v>
      </c>
      <c r="C96" s="277" t="s">
        <v>9</v>
      </c>
      <c r="D96" s="277"/>
      <c r="E96" s="277"/>
      <c r="F96" s="61">
        <f>MOD_1_REMUNERACAO_12X36_NOT</f>
        <v>0</v>
      </c>
    </row>
    <row r="97" spans="2:6" s="108" customFormat="1" ht="16.5" customHeight="1" x14ac:dyDescent="0.3">
      <c r="B97" s="2">
        <v>2</v>
      </c>
      <c r="C97" s="276" t="s">
        <v>102</v>
      </c>
      <c r="D97" s="276"/>
      <c r="E97" s="276"/>
      <c r="F97" s="39">
        <f>MOD_2_ENCARGOS_BENEFICIOS_12X36_NOT</f>
        <v>0</v>
      </c>
    </row>
    <row r="98" spans="2:6" s="108" customFormat="1" x14ac:dyDescent="0.3">
      <c r="B98" s="2">
        <v>3</v>
      </c>
      <c r="C98" s="277" t="s">
        <v>50</v>
      </c>
      <c r="D98" s="277"/>
      <c r="E98" s="277"/>
      <c r="F98" s="61">
        <f>MOD_3_PROVISAO_RESCISAO_12X36_NOT</f>
        <v>0</v>
      </c>
    </row>
    <row r="99" spans="2:6" s="108" customFormat="1" x14ac:dyDescent="0.3">
      <c r="B99" s="2">
        <v>4</v>
      </c>
      <c r="C99" s="276" t="s">
        <v>53</v>
      </c>
      <c r="D99" s="276"/>
      <c r="E99" s="276"/>
      <c r="F99" s="39">
        <f>MOD_4_CUSTO_REPOSICAO_12X36_NOT</f>
        <v>0</v>
      </c>
    </row>
    <row r="100" spans="2:6" s="108" customFormat="1" x14ac:dyDescent="0.3">
      <c r="B100" s="2">
        <v>5</v>
      </c>
      <c r="C100" s="277" t="s">
        <v>0</v>
      </c>
      <c r="D100" s="277"/>
      <c r="E100" s="277"/>
      <c r="F100" s="61">
        <f>MOD_5_INSUMOS_12X36_NOT</f>
        <v>0</v>
      </c>
    </row>
    <row r="101" spans="2:6" s="108" customFormat="1" x14ac:dyDescent="0.3">
      <c r="B101" s="2">
        <v>6</v>
      </c>
      <c r="C101" s="276" t="s">
        <v>22</v>
      </c>
      <c r="D101" s="276"/>
      <c r="E101" s="276"/>
      <c r="F101" s="39">
        <f>MOD_6_CUSTOS_IND_LUCRO_TRIB_12X36_NOT</f>
        <v>0</v>
      </c>
    </row>
    <row r="102" spans="2:6" ht="16.5" customHeight="1" x14ac:dyDescent="0.3">
      <c r="B102" s="279" t="s">
        <v>103</v>
      </c>
      <c r="C102" s="279"/>
      <c r="D102" s="279"/>
      <c r="E102" s="279"/>
      <c r="F102" s="40">
        <f>SUM(F96:F101)</f>
        <v>0</v>
      </c>
    </row>
    <row r="103" spans="2:6" ht="16.5" customHeight="1" x14ac:dyDescent="0.3">
      <c r="B103" s="279" t="s">
        <v>32</v>
      </c>
      <c r="C103" s="279"/>
      <c r="D103" s="279"/>
      <c r="E103" s="279"/>
      <c r="F103" s="40">
        <f>F102*EMPREG_POR_POSTO_12X36_NOT</f>
        <v>0</v>
      </c>
    </row>
  </sheetData>
  <customSheetViews>
    <customSheetView guid="{E22B0E03-E710-4313-B9E5-0BFE52A7E677}" showPageBreaks="1" view="pageBreakPreview">
      <selection activeCell="B1" sqref="B1:F1"/>
      <pageMargins left="0.08" right="0.05" top="0.19685039370078741" bottom="0.15748031496062992" header="0.19685039370078741" footer="0.15748031496062992"/>
      <printOptions horizontalCentered="1"/>
      <pageSetup paperSize="9" orientation="portrait" r:id="rId1"/>
    </customSheetView>
  </customSheetViews>
  <mergeCells count="92">
    <mergeCell ref="B1:F1"/>
    <mergeCell ref="B2:D2"/>
    <mergeCell ref="C92:D92"/>
    <mergeCell ref="C101:E101"/>
    <mergeCell ref="C79:E79"/>
    <mergeCell ref="C80:E80"/>
    <mergeCell ref="B83:E83"/>
    <mergeCell ref="C91:D91"/>
    <mergeCell ref="C87:D87"/>
    <mergeCell ref="C59:D59"/>
    <mergeCell ref="C56:D56"/>
    <mergeCell ref="C66:D66"/>
    <mergeCell ref="C65:D65"/>
    <mergeCell ref="C64:D64"/>
    <mergeCell ref="C67:D67"/>
    <mergeCell ref="C69:D69"/>
    <mergeCell ref="B3:F3"/>
    <mergeCell ref="B4:F4"/>
    <mergeCell ref="B19:E19"/>
    <mergeCell ref="B5:C5"/>
    <mergeCell ref="D5:F5"/>
    <mergeCell ref="B6:C6"/>
    <mergeCell ref="B18:F18"/>
    <mergeCell ref="D6:E6"/>
    <mergeCell ref="B7:F7"/>
    <mergeCell ref="D9:F9"/>
    <mergeCell ref="C8:E8"/>
    <mergeCell ref="C14:D14"/>
    <mergeCell ref="C10:E10"/>
    <mergeCell ref="C12:E12"/>
    <mergeCell ref="E14:F14"/>
    <mergeCell ref="C17:E17"/>
    <mergeCell ref="C11:E11"/>
    <mergeCell ref="D16:F16"/>
    <mergeCell ref="C21:E21"/>
    <mergeCell ref="C22:E22"/>
    <mergeCell ref="C24:E24"/>
    <mergeCell ref="C23:E23"/>
    <mergeCell ref="D15:F15"/>
    <mergeCell ref="B103:E103"/>
    <mergeCell ref="C99:E99"/>
    <mergeCell ref="C95:E95"/>
    <mergeCell ref="B85:F85"/>
    <mergeCell ref="C86:D86"/>
    <mergeCell ref="B102:E102"/>
    <mergeCell ref="C98:E98"/>
    <mergeCell ref="C90:D90"/>
    <mergeCell ref="C88:D88"/>
    <mergeCell ref="B93:E93"/>
    <mergeCell ref="C100:E100"/>
    <mergeCell ref="C97:E97"/>
    <mergeCell ref="C89:D89"/>
    <mergeCell ref="C96:E96"/>
    <mergeCell ref="C81:E81"/>
    <mergeCell ref="C82:E82"/>
    <mergeCell ref="C50:E50"/>
    <mergeCell ref="C45:D45"/>
    <mergeCell ref="B46:E46"/>
    <mergeCell ref="C49:E49"/>
    <mergeCell ref="C73:E73"/>
    <mergeCell ref="C74:E74"/>
    <mergeCell ref="B75:E75"/>
    <mergeCell ref="C78:E78"/>
    <mergeCell ref="B54:E54"/>
    <mergeCell ref="C58:D58"/>
    <mergeCell ref="C51:E51"/>
    <mergeCell ref="C52:E52"/>
    <mergeCell ref="C53:E53"/>
    <mergeCell ref="C70:D70"/>
    <mergeCell ref="C39:D39"/>
    <mergeCell ref="C42:D42"/>
    <mergeCell ref="C40:D40"/>
    <mergeCell ref="B60:E60"/>
    <mergeCell ref="B71:E71"/>
    <mergeCell ref="C68:D68"/>
    <mergeCell ref="C41:D41"/>
    <mergeCell ref="C48:E48"/>
    <mergeCell ref="C43:D43"/>
    <mergeCell ref="C44:D44"/>
    <mergeCell ref="C57:D57"/>
    <mergeCell ref="C25:E25"/>
    <mergeCell ref="C33:D33"/>
    <mergeCell ref="B35:E35"/>
    <mergeCell ref="C38:D38"/>
    <mergeCell ref="C26:E26"/>
    <mergeCell ref="C27:E27"/>
    <mergeCell ref="C28:E28"/>
    <mergeCell ref="B29:E29"/>
    <mergeCell ref="C32:D32"/>
    <mergeCell ref="C34:D34"/>
    <mergeCell ref="B36:F36"/>
    <mergeCell ref="C37:D37"/>
  </mergeCells>
  <printOptions horizontalCentered="1"/>
  <pageMargins left="0.08" right="0.05" top="0.19685039370078741" bottom="0.15748031496062992" header="0.19685039370078741" footer="0.15748031496062992"/>
  <pageSetup paperSize="9" orientation="portrait" r:id="rId2"/>
  <ignoredErrors>
    <ignoredError sqref="B1:F1 B14:F14 B3:F4 B7:F8 B2:F2 B10:F11 B9:C9 C17:E17 B12:E12 D5:F6 B15:C15 E15:F15 C16 E16:F16" unlocked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108"/>
  <sheetViews>
    <sheetView topLeftCell="A23" zoomScaleNormal="100" zoomScaleSheetLayoutView="100" workbookViewId="0">
      <selection activeCell="F35" sqref="F35"/>
    </sheetView>
  </sheetViews>
  <sheetFormatPr defaultRowHeight="16.5" x14ac:dyDescent="0.3"/>
  <cols>
    <col min="1" max="1" width="2.7109375" style="17" customWidth="1"/>
    <col min="2" max="2" width="8.7109375" style="17" customWidth="1"/>
    <col min="3" max="3" width="52.5703125" style="23" customWidth="1"/>
    <col min="4" max="4" width="7.85546875" style="23" customWidth="1"/>
    <col min="5" max="5" width="13.5703125" style="23" customWidth="1"/>
    <col min="6" max="6" width="15.42578125" style="23" bestFit="1" customWidth="1"/>
    <col min="7" max="16384" width="9.140625" style="17"/>
  </cols>
  <sheetData>
    <row r="1" spans="2:6" ht="20.25" x14ac:dyDescent="0.35">
      <c r="B1" s="282" t="str">
        <f>RAMO</f>
        <v>RAMO:</v>
      </c>
      <c r="C1" s="283"/>
      <c r="D1" s="283"/>
      <c r="E1" s="283"/>
      <c r="F1" s="284"/>
    </row>
    <row r="2" spans="2:6" ht="20.25" x14ac:dyDescent="0.35">
      <c r="B2" s="285" t="str">
        <f>UG</f>
        <v>UNIDADE GESTORA (SIGLA):</v>
      </c>
      <c r="C2" s="286"/>
      <c r="D2" s="287"/>
      <c r="E2" s="111" t="s">
        <v>59</v>
      </c>
      <c r="F2" s="112" t="str">
        <f>DATA_DO_ORCAMENTO_ESTIMATIVO</f>
        <v>XX/XX/20XX</v>
      </c>
    </row>
    <row r="3" spans="2:6" s="96" customFormat="1" ht="25.5" x14ac:dyDescent="0.5">
      <c r="B3" s="237" t="s">
        <v>58</v>
      </c>
      <c r="C3" s="237"/>
      <c r="D3" s="237"/>
      <c r="E3" s="237"/>
      <c r="F3" s="237"/>
    </row>
    <row r="4" spans="2:6" s="96" customFormat="1" ht="15.95" customHeight="1" x14ac:dyDescent="0.3">
      <c r="B4" s="238" t="s">
        <v>99</v>
      </c>
      <c r="C4" s="238"/>
      <c r="D4" s="238"/>
      <c r="E4" s="238"/>
      <c r="F4" s="238"/>
    </row>
    <row r="5" spans="2:6" s="96" customFormat="1" ht="15.95" customHeight="1" x14ac:dyDescent="0.3">
      <c r="B5" s="246" t="s">
        <v>235</v>
      </c>
      <c r="C5" s="246"/>
      <c r="D5" s="288" t="str">
        <f>NUMERO_PROCESSO</f>
        <v>X.XX.XXX.XXXXXX/20XX-XX</v>
      </c>
      <c r="E5" s="288"/>
      <c r="F5" s="288"/>
    </row>
    <row r="6" spans="2:6" s="96" customFormat="1" ht="15.75" customHeight="1" x14ac:dyDescent="0.3">
      <c r="B6" s="250" t="s">
        <v>236</v>
      </c>
      <c r="C6" s="250"/>
      <c r="D6" s="289" t="str">
        <f>MODALIDADE_DE_LICITACAO</f>
        <v>Pregão nº</v>
      </c>
      <c r="E6" s="289"/>
      <c r="F6" s="116" t="str">
        <f>NUMERO_PREGAO</f>
        <v>XX/20XX</v>
      </c>
    </row>
    <row r="7" spans="2:6" s="97" customFormat="1" ht="15.75" customHeight="1" x14ac:dyDescent="0.3">
      <c r="B7" s="290" t="s">
        <v>60</v>
      </c>
      <c r="C7" s="290"/>
      <c r="D7" s="290"/>
      <c r="E7" s="290"/>
      <c r="F7" s="290"/>
    </row>
    <row r="8" spans="2:6" s="96" customFormat="1" ht="18" customHeight="1" x14ac:dyDescent="0.3">
      <c r="B8" s="29" t="s">
        <v>2</v>
      </c>
      <c r="C8" s="246" t="s">
        <v>65</v>
      </c>
      <c r="D8" s="246"/>
      <c r="E8" s="246"/>
      <c r="F8" s="117" t="str">
        <f>DATA_APRESENTACAO_PROPOSTA</f>
        <v>XX/XX/20XX</v>
      </c>
    </row>
    <row r="9" spans="2:6" s="96" customFormat="1" ht="15.95" customHeight="1" x14ac:dyDescent="0.15">
      <c r="B9" s="1" t="s">
        <v>3</v>
      </c>
      <c r="C9" s="70" t="s">
        <v>38</v>
      </c>
      <c r="D9" s="291" t="str">
        <f>IF(LOCAL_DE_EXECUCAO="","",LOCAL_DE_EXECUCAO)</f>
        <v/>
      </c>
      <c r="E9" s="291"/>
      <c r="F9" s="291"/>
    </row>
    <row r="10" spans="2:6" s="96" customFormat="1" ht="18.75" customHeight="1" x14ac:dyDescent="0.3">
      <c r="B10" s="29" t="s">
        <v>4</v>
      </c>
      <c r="C10" s="246" t="s">
        <v>39</v>
      </c>
      <c r="D10" s="246"/>
      <c r="E10" s="246"/>
      <c r="F10" s="118" t="str">
        <f>ACORDO_COLETIVO</f>
        <v>XX/20XX</v>
      </c>
    </row>
    <row r="11" spans="2:6" s="96" customFormat="1" ht="15.95" customHeight="1" x14ac:dyDescent="0.3">
      <c r="B11" s="1" t="s">
        <v>5</v>
      </c>
      <c r="C11" s="291" t="s">
        <v>66</v>
      </c>
      <c r="D11" s="291"/>
      <c r="E11" s="291"/>
      <c r="F11" s="119">
        <f>NUMERO_MESES_EXEC_CONTRATUAL</f>
        <v>12</v>
      </c>
    </row>
    <row r="12" spans="2:6" s="96" customFormat="1" x14ac:dyDescent="0.3">
      <c r="B12" s="1" t="s">
        <v>6</v>
      </c>
      <c r="C12" s="292" t="s">
        <v>87</v>
      </c>
      <c r="D12" s="292"/>
      <c r="E12" s="292"/>
      <c r="F12" s="100">
        <f>IF(QTDE_DE_POSTOS_SUP_DIU_44=0,"",QTDE_DE_POSTOS_SUP_DIU_44)</f>
        <v>1</v>
      </c>
    </row>
    <row r="13" spans="2:6" s="96" customFormat="1" ht="7.5" customHeight="1" x14ac:dyDescent="0.3">
      <c r="B13" s="120"/>
      <c r="C13" s="121"/>
      <c r="D13" s="121"/>
      <c r="E13" s="121"/>
      <c r="F13" s="102"/>
    </row>
    <row r="14" spans="2:6" s="96" customFormat="1" ht="21" customHeight="1" x14ac:dyDescent="0.5">
      <c r="B14" s="104" t="s">
        <v>216</v>
      </c>
      <c r="C14" s="17"/>
      <c r="D14" s="17"/>
      <c r="E14" s="17"/>
      <c r="F14" s="17"/>
    </row>
    <row r="15" spans="2:6" s="96" customFormat="1" x14ac:dyDescent="0.3">
      <c r="B15" s="29">
        <v>1</v>
      </c>
      <c r="C15" s="316" t="s">
        <v>62</v>
      </c>
      <c r="D15" s="317"/>
      <c r="E15" s="313" t="str">
        <f>TIPO_DE_SERVICO</f>
        <v>Vigilância</v>
      </c>
      <c r="F15" s="315"/>
    </row>
    <row r="16" spans="2:6" s="97" customFormat="1" x14ac:dyDescent="0.3">
      <c r="B16" s="29">
        <v>2</v>
      </c>
      <c r="C16" s="31" t="s">
        <v>61</v>
      </c>
      <c r="D16" s="258">
        <f>CBO_SUPER</f>
        <v>0</v>
      </c>
      <c r="E16" s="259"/>
      <c r="F16" s="260"/>
    </row>
    <row r="17" spans="2:6" s="96" customFormat="1" ht="15" customHeight="1" x14ac:dyDescent="0.3">
      <c r="B17" s="29">
        <v>3</v>
      </c>
      <c r="C17" s="59" t="s">
        <v>63</v>
      </c>
      <c r="D17" s="313">
        <f>CATEGORIA_PROFISSIONAL</f>
        <v>0</v>
      </c>
      <c r="E17" s="314"/>
      <c r="F17" s="315"/>
    </row>
    <row r="18" spans="2:6" s="96" customFormat="1" ht="15" customHeight="1" x14ac:dyDescent="0.3">
      <c r="B18" s="29">
        <v>4</v>
      </c>
      <c r="C18" s="205" t="s">
        <v>64</v>
      </c>
      <c r="D18" s="318"/>
      <c r="E18" s="206"/>
      <c r="F18" s="133" t="str">
        <f>DATA_BASE_CATEGORIA</f>
        <v>XX/XX/20XX</v>
      </c>
    </row>
    <row r="19" spans="2:6" s="96" customFormat="1" ht="15" customHeight="1" x14ac:dyDescent="0.3">
      <c r="B19" s="32"/>
      <c r="C19" s="33"/>
      <c r="D19" s="33"/>
      <c r="E19" s="33"/>
      <c r="F19" s="103"/>
    </row>
    <row r="20" spans="2:6" s="122" customFormat="1" ht="30" customHeight="1" x14ac:dyDescent="0.3">
      <c r="B20" s="296" t="s">
        <v>42</v>
      </c>
      <c r="C20" s="296"/>
      <c r="D20" s="296"/>
      <c r="E20" s="296"/>
      <c r="F20" s="296"/>
    </row>
    <row r="21" spans="2:6" x14ac:dyDescent="0.3">
      <c r="B21" s="216" t="s">
        <v>54</v>
      </c>
      <c r="C21" s="216"/>
      <c r="D21" s="216"/>
      <c r="E21" s="216"/>
      <c r="F21" s="115">
        <v>1</v>
      </c>
    </row>
    <row r="22" spans="2:6" x14ac:dyDescent="0.3">
      <c r="B22" s="54" t="s">
        <v>8</v>
      </c>
      <c r="E22" s="18"/>
      <c r="F22" s="18"/>
    </row>
    <row r="23" spans="2:6" x14ac:dyDescent="0.3">
      <c r="B23" s="52">
        <v>1</v>
      </c>
      <c r="C23" s="223" t="s">
        <v>9</v>
      </c>
      <c r="D23" s="223"/>
      <c r="E23" s="223"/>
      <c r="F23" s="53" t="s">
        <v>13</v>
      </c>
    </row>
    <row r="24" spans="2:6" x14ac:dyDescent="0.3">
      <c r="B24" s="52" t="s">
        <v>2</v>
      </c>
      <c r="C24" s="319" t="s">
        <v>94</v>
      </c>
      <c r="D24" s="319"/>
      <c r="E24" s="319"/>
      <c r="F24" s="60">
        <f>SALARIO_BASE_SUPER</f>
        <v>0</v>
      </c>
    </row>
    <row r="25" spans="2:6" x14ac:dyDescent="0.3">
      <c r="B25" s="52" t="s">
        <v>3</v>
      </c>
      <c r="C25" s="225" t="s">
        <v>96</v>
      </c>
      <c r="D25" s="225"/>
      <c r="E25" s="225"/>
      <c r="F25" s="14">
        <f>PERC_ADIC_PERIC%*SALARIO_BASE_SUPER</f>
        <v>0</v>
      </c>
    </row>
    <row r="26" spans="2:6" x14ac:dyDescent="0.3">
      <c r="B26" s="1" t="s">
        <v>4</v>
      </c>
      <c r="C26" s="294" t="str">
        <f>OUTROS_REMUNERACAO_1_DESCRICAO</f>
        <v>Outras Remunerações 1 (Especificar)</v>
      </c>
      <c r="D26" s="295"/>
      <c r="E26" s="298"/>
      <c r="F26" s="60">
        <f>OUTROS_REMUNERACAO_1</f>
        <v>0</v>
      </c>
    </row>
    <row r="27" spans="2:6" x14ac:dyDescent="0.3">
      <c r="B27" s="1" t="s">
        <v>5</v>
      </c>
      <c r="C27" s="299" t="str">
        <f>OUTROS_REMUNERACAO_2_DESCRICAO</f>
        <v>Outras Remunerações 2 (Especificar)</v>
      </c>
      <c r="D27" s="300"/>
      <c r="E27" s="301"/>
      <c r="F27" s="14">
        <f>OUTROS_REMUNERACAO_2</f>
        <v>0</v>
      </c>
    </row>
    <row r="28" spans="2:6" x14ac:dyDescent="0.3">
      <c r="B28" s="1" t="s">
        <v>6</v>
      </c>
      <c r="C28" s="294" t="str">
        <f>OUTROS_REMUNERACAO_3_DESCRICAO</f>
        <v>Outras Remunerações 3 (Especificar)</v>
      </c>
      <c r="D28" s="295"/>
      <c r="E28" s="298"/>
      <c r="F28" s="60">
        <f>OUTROS_REMUNERACAO_3</f>
        <v>0</v>
      </c>
    </row>
    <row r="29" spans="2:6" x14ac:dyDescent="0.3">
      <c r="B29" s="308" t="s">
        <v>48</v>
      </c>
      <c r="C29" s="308"/>
      <c r="D29" s="308"/>
      <c r="E29" s="308"/>
      <c r="F29" s="46">
        <f>ROUND(SUM(F24:F28),2)</f>
        <v>0</v>
      </c>
    </row>
    <row r="30" spans="2:6" ht="10.5" customHeight="1" x14ac:dyDescent="0.3">
      <c r="B30" s="20"/>
      <c r="C30" s="21"/>
      <c r="D30" s="22"/>
      <c r="E30" s="18"/>
      <c r="F30" s="18"/>
    </row>
    <row r="31" spans="2:6" x14ac:dyDescent="0.3">
      <c r="B31" s="54" t="s">
        <v>67</v>
      </c>
      <c r="E31" s="25"/>
      <c r="F31" s="25"/>
    </row>
    <row r="32" spans="2:6" x14ac:dyDescent="0.3">
      <c r="B32" s="54" t="s">
        <v>69</v>
      </c>
      <c r="C32" s="16"/>
      <c r="D32" s="26"/>
      <c r="E32" s="24"/>
      <c r="F32" s="24"/>
    </row>
    <row r="33" spans="2:6" x14ac:dyDescent="0.3">
      <c r="B33" s="52" t="s">
        <v>68</v>
      </c>
      <c r="C33" s="320" t="s">
        <v>95</v>
      </c>
      <c r="D33" s="320"/>
      <c r="E33" s="53" t="s">
        <v>1</v>
      </c>
      <c r="F33" s="53" t="s">
        <v>13</v>
      </c>
    </row>
    <row r="34" spans="2:6" x14ac:dyDescent="0.3">
      <c r="B34" s="52" t="s">
        <v>2</v>
      </c>
      <c r="C34" s="224" t="s">
        <v>49</v>
      </c>
      <c r="D34" s="224"/>
      <c r="E34" s="68">
        <f>(1/12)*100</f>
        <v>8.33</v>
      </c>
      <c r="F34" s="61">
        <f>PERC_DEC_TERC%*MOD_1_REMUNERACAO_44H</f>
        <v>0</v>
      </c>
    </row>
    <row r="35" spans="2:6" s="21" customFormat="1" x14ac:dyDescent="0.3">
      <c r="B35" s="48" t="s">
        <v>3</v>
      </c>
      <c r="C35" s="207" t="s">
        <v>97</v>
      </c>
      <c r="D35" s="209"/>
      <c r="E35" s="57">
        <f>(1/3)/12*100</f>
        <v>2.78</v>
      </c>
      <c r="F35" s="39">
        <f>PERC_ADIC_FERIAS%*MOD_1_REMUNERACAO_44H</f>
        <v>0</v>
      </c>
    </row>
    <row r="36" spans="2:6" s="105" customFormat="1" x14ac:dyDescent="0.3">
      <c r="B36" s="321" t="s">
        <v>48</v>
      </c>
      <c r="C36" s="322"/>
      <c r="D36" s="322"/>
      <c r="E36" s="323"/>
      <c r="F36" s="44">
        <f>SUM(F34:F35)</f>
        <v>0</v>
      </c>
    </row>
    <row r="37" spans="2:6" s="105" customFormat="1" ht="31.5" customHeight="1" x14ac:dyDescent="0.3">
      <c r="B37" s="324" t="s">
        <v>70</v>
      </c>
      <c r="C37" s="324"/>
      <c r="D37" s="324"/>
      <c r="E37" s="324"/>
      <c r="F37" s="324"/>
    </row>
    <row r="38" spans="2:6" s="105" customFormat="1" ht="33.75" customHeight="1" x14ac:dyDescent="0.3">
      <c r="B38" s="52" t="s">
        <v>71</v>
      </c>
      <c r="C38" s="325" t="s">
        <v>98</v>
      </c>
      <c r="D38" s="325"/>
      <c r="E38" s="53" t="s">
        <v>1</v>
      </c>
      <c r="F38" s="53" t="s">
        <v>13</v>
      </c>
    </row>
    <row r="39" spans="2:6" x14ac:dyDescent="0.3">
      <c r="B39" s="52" t="s">
        <v>2</v>
      </c>
      <c r="C39" s="224" t="s">
        <v>43</v>
      </c>
      <c r="D39" s="224"/>
      <c r="E39" s="68">
        <v>20</v>
      </c>
      <c r="F39" s="61">
        <f>PERC_INSS%*(MOD_1_REMUNERACAO_44H+SUBMOD_2_1_DEC_TERC_ADIC_FERIAS_44H)</f>
        <v>0</v>
      </c>
    </row>
    <row r="40" spans="2:6" s="96" customFormat="1" x14ac:dyDescent="0.15">
      <c r="B40" s="48" t="s">
        <v>3</v>
      </c>
      <c r="C40" s="225" t="s">
        <v>45</v>
      </c>
      <c r="D40" s="225"/>
      <c r="E40" s="58">
        <v>2.5</v>
      </c>
      <c r="F40" s="39">
        <f>PERC_SAL_EDUCACAO%*(MOD_1_REMUNERACAO_44H+SUBMOD_2_1_DEC_TERC_ADIC_FERIAS_44H)</f>
        <v>0</v>
      </c>
    </row>
    <row r="41" spans="2:6" s="96" customFormat="1" x14ac:dyDescent="0.15">
      <c r="B41" s="48" t="s">
        <v>4</v>
      </c>
      <c r="C41" s="224" t="s">
        <v>92</v>
      </c>
      <c r="D41" s="224"/>
      <c r="E41" s="68">
        <v>3</v>
      </c>
      <c r="F41" s="61">
        <f>PERC_RAT%*(MOD_1_REMUNERACAO_44H+SUBMOD_2_1_DEC_TERC_ADIC_FERIAS_44H)</f>
        <v>0</v>
      </c>
    </row>
    <row r="42" spans="2:6" s="96" customFormat="1" x14ac:dyDescent="0.15">
      <c r="B42" s="48" t="s">
        <v>5</v>
      </c>
      <c r="C42" s="225" t="s">
        <v>90</v>
      </c>
      <c r="D42" s="225"/>
      <c r="E42" s="57">
        <v>1.5</v>
      </c>
      <c r="F42" s="39">
        <f>PERC_SESC%*(MOD_1_REMUNERACAO_44H+SUBMOD_2_1_DEC_TERC_ADIC_FERIAS_44H)</f>
        <v>0</v>
      </c>
    </row>
    <row r="43" spans="2:6" s="96" customFormat="1" x14ac:dyDescent="0.15">
      <c r="B43" s="48" t="s">
        <v>6</v>
      </c>
      <c r="C43" s="224" t="s">
        <v>91</v>
      </c>
      <c r="D43" s="224"/>
      <c r="E43" s="68">
        <v>1</v>
      </c>
      <c r="F43" s="61">
        <f>PERC_SENAC%*(MOD_1_REMUNERACAO_44H+SUBMOD_2_1_DEC_TERC_ADIC_FERIAS_44H)</f>
        <v>0</v>
      </c>
    </row>
    <row r="44" spans="2:6" s="97" customFormat="1" x14ac:dyDescent="0.15">
      <c r="B44" s="48" t="s">
        <v>7</v>
      </c>
      <c r="C44" s="225" t="s">
        <v>47</v>
      </c>
      <c r="D44" s="225"/>
      <c r="E44" s="58">
        <v>0.6</v>
      </c>
      <c r="F44" s="39">
        <f>PERC_SEBRAE%*(MOD_1_REMUNERACAO_44H+SUBMOD_2_1_DEC_TERC_ADIC_FERIAS_44H)</f>
        <v>0</v>
      </c>
    </row>
    <row r="45" spans="2:6" s="97" customFormat="1" x14ac:dyDescent="0.15">
      <c r="B45" s="48" t="s">
        <v>10</v>
      </c>
      <c r="C45" s="224" t="s">
        <v>44</v>
      </c>
      <c r="D45" s="224"/>
      <c r="E45" s="68">
        <v>0.2</v>
      </c>
      <c r="F45" s="61">
        <f>PERC_INCRA%*(MOD_1_REMUNERACAO_44H+SUBMOD_2_1_DEC_TERC_ADIC_FERIAS_44H)</f>
        <v>0</v>
      </c>
    </row>
    <row r="46" spans="2:6" x14ac:dyDescent="0.3">
      <c r="B46" s="48" t="s">
        <v>11</v>
      </c>
      <c r="C46" s="225" t="s">
        <v>46</v>
      </c>
      <c r="D46" s="225"/>
      <c r="E46" s="58">
        <v>8</v>
      </c>
      <c r="F46" s="39">
        <f>PERC_FGTS%*(MOD_1_REMUNERACAO_44H+SUBMOD_2_1_DEC_TERC_ADIC_FERIAS_44H)</f>
        <v>0</v>
      </c>
    </row>
    <row r="47" spans="2:6" x14ac:dyDescent="0.3">
      <c r="B47" s="321" t="s">
        <v>48</v>
      </c>
      <c r="C47" s="322"/>
      <c r="D47" s="322"/>
      <c r="E47" s="323"/>
      <c r="F47" s="45">
        <f>SUM(F39:F46)</f>
        <v>0</v>
      </c>
    </row>
    <row r="48" spans="2:6" ht="15.75" customHeight="1" x14ac:dyDescent="0.3">
      <c r="B48" s="54" t="s">
        <v>73</v>
      </c>
      <c r="C48" s="97"/>
      <c r="D48" s="97"/>
      <c r="E48" s="97"/>
      <c r="F48" s="97"/>
    </row>
    <row r="49" spans="2:6" ht="15.75" customHeight="1" x14ac:dyDescent="0.3">
      <c r="B49" s="52" t="s">
        <v>93</v>
      </c>
      <c r="C49" s="223" t="s">
        <v>14</v>
      </c>
      <c r="D49" s="223"/>
      <c r="E49" s="223"/>
      <c r="F49" s="53" t="s">
        <v>13</v>
      </c>
    </row>
    <row r="50" spans="2:6" x14ac:dyDescent="0.3">
      <c r="B50" s="47" t="s">
        <v>2</v>
      </c>
      <c r="C50" s="294" t="s">
        <v>15</v>
      </c>
      <c r="D50" s="295"/>
      <c r="E50" s="298"/>
      <c r="F50" s="61">
        <f>IF(((TRANSPORTE_POR_DIA*DIAS_UTEIS_TRABALHADOS_NO_MES_44HORAS)-(PERC_DESC_TRANSP_REMUNERACAO%*(AL_1_A_SAL_BASE_44H)))&gt;0,((TRANSPORTE_POR_DIA*DIAS_UTEIS_TRABALHADOS_NO_MES_44HORAS)-(PERC_DESC_TRANSP_REMUNERACAO%*(AL_1_A_SAL_BASE_44H))),0)</f>
        <v>0</v>
      </c>
    </row>
    <row r="51" spans="2:6" s="105" customFormat="1" x14ac:dyDescent="0.3">
      <c r="B51" s="47" t="s">
        <v>3</v>
      </c>
      <c r="C51" s="207" t="s">
        <v>72</v>
      </c>
      <c r="D51" s="208"/>
      <c r="E51" s="209"/>
      <c r="F51" s="39">
        <f>ALIMENTACAO_POR_DIA*DIAS_UTEIS_TRABALHADOS_NO_MES_44HORAS</f>
        <v>0</v>
      </c>
    </row>
    <row r="52" spans="2:6" s="105" customFormat="1" x14ac:dyDescent="0.3">
      <c r="B52" s="29" t="s">
        <v>4</v>
      </c>
      <c r="C52" s="294" t="str">
        <f>OUTROS_BENEFICIOS_1_DESCRICAO</f>
        <v>Outros Benefícios 1 (Especificar)</v>
      </c>
      <c r="D52" s="295"/>
      <c r="E52" s="298"/>
      <c r="F52" s="61">
        <f>OUTROS_BENEFICIOS_1</f>
        <v>0</v>
      </c>
    </row>
    <row r="53" spans="2:6" s="105" customFormat="1" x14ac:dyDescent="0.3">
      <c r="B53" s="29" t="s">
        <v>5</v>
      </c>
      <c r="C53" s="299" t="str">
        <f>OUTROS_BENEFICIOS_2_DESCRICAO</f>
        <v>Outros Benefícios 2 (Especificar)</v>
      </c>
      <c r="D53" s="300"/>
      <c r="E53" s="301"/>
      <c r="F53" s="39">
        <f>OUTROS_BENEFICIOS_2</f>
        <v>0</v>
      </c>
    </row>
    <row r="54" spans="2:6" s="105" customFormat="1" x14ac:dyDescent="0.3">
      <c r="B54" s="29" t="s">
        <v>6</v>
      </c>
      <c r="C54" s="294" t="str">
        <f>OUTROS_BENEFICIOS_3_DESCRICAO</f>
        <v>Outros Benefícios 3 (Especificar)</v>
      </c>
      <c r="D54" s="295"/>
      <c r="E54" s="298"/>
      <c r="F54" s="61">
        <f>OUTROS_BENEFICIOS_3</f>
        <v>0</v>
      </c>
    </row>
    <row r="55" spans="2:6" s="105" customFormat="1" ht="15" customHeight="1" x14ac:dyDescent="0.3">
      <c r="B55" s="308" t="s">
        <v>48</v>
      </c>
      <c r="C55" s="308"/>
      <c r="D55" s="308"/>
      <c r="E55" s="308"/>
      <c r="F55" s="46">
        <f>SUM(F50:F54)</f>
        <v>0</v>
      </c>
    </row>
    <row r="56" spans="2:6" ht="10.5" customHeight="1" x14ac:dyDescent="0.3">
      <c r="B56" s="20"/>
      <c r="C56" s="21"/>
      <c r="D56" s="22"/>
      <c r="E56" s="18"/>
      <c r="F56" s="18"/>
    </row>
    <row r="57" spans="2:6" s="105" customFormat="1" x14ac:dyDescent="0.3">
      <c r="B57" s="54" t="s">
        <v>74</v>
      </c>
      <c r="C57" s="16"/>
      <c r="D57" s="26"/>
      <c r="E57" s="24"/>
      <c r="F57" s="24"/>
    </row>
    <row r="58" spans="2:6" s="105" customFormat="1" ht="15" customHeight="1" x14ac:dyDescent="0.3">
      <c r="B58" s="1">
        <v>3</v>
      </c>
      <c r="C58" s="216" t="s">
        <v>50</v>
      </c>
      <c r="D58" s="216"/>
      <c r="E58" s="5" t="s">
        <v>1</v>
      </c>
      <c r="F58" s="5" t="s">
        <v>13</v>
      </c>
    </row>
    <row r="59" spans="2:6" s="105" customFormat="1" x14ac:dyDescent="0.3">
      <c r="B59" s="1" t="s">
        <v>2</v>
      </c>
      <c r="C59" s="278" t="s">
        <v>51</v>
      </c>
      <c r="D59" s="278"/>
      <c r="E59" s="62">
        <f>PERC_AVISO_PREVIO_IND</f>
        <v>0.28999999999999998</v>
      </c>
      <c r="F59" s="61">
        <f>PERC_AVISO_PREVIO_IND%*(MOD_1_REMUNERACAO_44H+SUBMOD_2_1_DEC_TERC_ADIC_FERIAS_44H+AL_2_2_FGTS_44H+SUBMOD_2_3_BENEFICIOS_44H)</f>
        <v>0</v>
      </c>
    </row>
    <row r="60" spans="2:6" s="105" customFormat="1" x14ac:dyDescent="0.3">
      <c r="B60" s="2" t="s">
        <v>3</v>
      </c>
      <c r="C60" s="280" t="s">
        <v>52</v>
      </c>
      <c r="D60" s="280"/>
      <c r="E60" s="49">
        <f>PERC_AVISO_PREVIO_TRAB</f>
        <v>1.1599999999999999</v>
      </c>
      <c r="F60" s="39">
        <f>PERC_AVISO_PREVIO_TRAB%*(MOD_1_REMUNERACAO_44H+SUBMOD_2_1_DEC_TERC_ADIC_FERIAS_44H+SUBMOD_2_2_GPS_FGTS_44H+SUBMOD_2_3_BENEFICIOS_44H)</f>
        <v>0</v>
      </c>
    </row>
    <row r="61" spans="2:6" s="96" customFormat="1" x14ac:dyDescent="0.15">
      <c r="B61" s="2" t="s">
        <v>4</v>
      </c>
      <c r="C61" s="278" t="s">
        <v>244</v>
      </c>
      <c r="D61" s="278"/>
      <c r="E61" s="62">
        <f>PERC_MULTA_FGTS_AV_PREV_TRAB</f>
        <v>0.04</v>
      </c>
      <c r="F61" s="61">
        <f>PERC_MULTA_FGTS_AV_PREV_TRAB%*(MOD_1_REMUNERACAO_44H+SUBMOD_2_1_DEC_TERC_ADIC_FERIAS_44H)</f>
        <v>0</v>
      </c>
    </row>
    <row r="62" spans="2:6" s="96" customFormat="1" x14ac:dyDescent="0.3">
      <c r="B62" s="220" t="s">
        <v>48</v>
      </c>
      <c r="C62" s="221"/>
      <c r="D62" s="221"/>
      <c r="E62" s="222"/>
      <c r="F62" s="44">
        <f>SUM(F59:F61)</f>
        <v>0</v>
      </c>
    </row>
    <row r="63" spans="2:6" ht="10.5" customHeight="1" x14ac:dyDescent="0.3">
      <c r="B63" s="20"/>
      <c r="C63" s="21"/>
      <c r="D63" s="22"/>
      <c r="E63" s="18"/>
      <c r="F63" s="18"/>
    </row>
    <row r="64" spans="2:6" s="96" customFormat="1" ht="15.95" customHeight="1" x14ac:dyDescent="0.3">
      <c r="B64" s="54" t="s">
        <v>75</v>
      </c>
      <c r="C64" s="16"/>
      <c r="D64" s="26"/>
      <c r="E64" s="17"/>
      <c r="F64" s="17"/>
    </row>
    <row r="65" spans="2:6" s="96" customFormat="1" ht="15.95" customHeight="1" x14ac:dyDescent="0.3">
      <c r="B65" s="54" t="s">
        <v>104</v>
      </c>
      <c r="C65" s="16"/>
      <c r="D65" s="26"/>
      <c r="E65" s="24"/>
      <c r="F65" s="24"/>
    </row>
    <row r="66" spans="2:6" s="96" customFormat="1" x14ac:dyDescent="0.15">
      <c r="B66" s="1" t="s">
        <v>20</v>
      </c>
      <c r="C66" s="279" t="s">
        <v>105</v>
      </c>
      <c r="D66" s="279"/>
      <c r="E66" s="5" t="s">
        <v>1</v>
      </c>
      <c r="F66" s="5" t="s">
        <v>13</v>
      </c>
    </row>
    <row r="67" spans="2:6" s="96" customFormat="1" ht="15.95" customHeight="1" x14ac:dyDescent="0.15">
      <c r="B67" s="2" t="s">
        <v>2</v>
      </c>
      <c r="C67" s="277" t="s">
        <v>106</v>
      </c>
      <c r="D67" s="277"/>
      <c r="E67" s="62">
        <f>PERC_SUBSTITUTO_FERIAS</f>
        <v>8.33</v>
      </c>
      <c r="F67" s="61">
        <f>PERC_SUBSTITUTO_FERIAS%*(MOD_1_REMUNERACAO_44H+MOD_2_ENCARGOS_BENEFICIOS_44H+MOD_3_PROVISAO_RESCISAO_44H)</f>
        <v>0</v>
      </c>
    </row>
    <row r="68" spans="2:6" s="96" customFormat="1" ht="15.95" customHeight="1" x14ac:dyDescent="0.15">
      <c r="B68" s="2" t="s">
        <v>3</v>
      </c>
      <c r="C68" s="276" t="s">
        <v>107</v>
      </c>
      <c r="D68" s="276"/>
      <c r="E68" s="49">
        <f>PERC_SUBSTITUTO_AUSENCIAS_LEGAIS</f>
        <v>2.2200000000000002</v>
      </c>
      <c r="F68" s="39">
        <f>PERC_SUBSTITUTO_AUSENCIAS_LEGAIS%*(MOD_1_REMUNERACAO_44H+MOD_2_ENCARGOS_BENEFICIOS_44H+MOD_3_PROVISAO_RESCISAO_44H)</f>
        <v>0</v>
      </c>
    </row>
    <row r="69" spans="2:6" s="96" customFormat="1" ht="15.95" customHeight="1" x14ac:dyDescent="0.15">
      <c r="B69" s="2" t="s">
        <v>4</v>
      </c>
      <c r="C69" s="277" t="s">
        <v>108</v>
      </c>
      <c r="D69" s="277"/>
      <c r="E69" s="62">
        <f>PERC_SUBSTITUTO_LICENCA_PATERNIDADE</f>
        <v>7.0000000000000007E-2</v>
      </c>
      <c r="F69" s="61">
        <f>PERC_SUBSTITUTO_LICENCA_PATERNIDADE%*(MOD_1_REMUNERACAO_44H+MOD_2_ENCARGOS_BENEFICIOS_44H+MOD_3_PROVISAO_RESCISAO_44H)</f>
        <v>0</v>
      </c>
    </row>
    <row r="70" spans="2:6" s="96" customFormat="1" x14ac:dyDescent="0.15">
      <c r="B70" s="2" t="s">
        <v>5</v>
      </c>
      <c r="C70" s="276" t="s">
        <v>109</v>
      </c>
      <c r="D70" s="276"/>
      <c r="E70" s="49">
        <f>PERC_SUBSTITUTO_ACID_TRAB</f>
        <v>0.02</v>
      </c>
      <c r="F70" s="39">
        <f>PERC_SUBSTITUTO_ACID_TRAB%*(MOD_1_REMUNERACAO_44H+MOD_2_ENCARGOS_BENEFICIOS_44H+MOD_3_PROVISAO_RESCISAO_44H)</f>
        <v>0</v>
      </c>
    </row>
    <row r="71" spans="2:6" s="96" customFormat="1" x14ac:dyDescent="0.15">
      <c r="B71" s="2" t="s">
        <v>6</v>
      </c>
      <c r="C71" s="277" t="s">
        <v>110</v>
      </c>
      <c r="D71" s="277"/>
      <c r="E71" s="62">
        <f>PERC_SUBSTITUTO_AFAST_MATERN</f>
        <v>0.04</v>
      </c>
      <c r="F71" s="61">
        <f>PERC_SUBSTITUTO_AFAST_MATERN%*(MOD_1_REMUNERACAO_44H+MOD_2_ENCARGOS_BENEFICIOS_44H+MOD_3_PROVISAO_RESCISAO_44H)</f>
        <v>0</v>
      </c>
    </row>
    <row r="72" spans="2:6" s="96" customFormat="1" x14ac:dyDescent="0.15">
      <c r="B72" s="2" t="s">
        <v>7</v>
      </c>
      <c r="C72" s="305" t="str">
        <f>OUTRAS_AUSENCIAS_DESCRICAO</f>
        <v>Outras Ausências (Especificar - em %)</v>
      </c>
      <c r="D72" s="276"/>
      <c r="E72" s="56">
        <f>PERC_SUBSTITUTO_OUTRAS_AUSENCIAS</f>
        <v>0</v>
      </c>
      <c r="F72" s="39">
        <f>PERC_SUBSTITUTO_OUTRAS_AUSENCIAS%*(MOD_1_REMUNERACAO_44H+MOD_2_ENCARGOS_BENEFICIOS_44H+MOD_3_PROVISAO_RESCISAO_44H)</f>
        <v>0</v>
      </c>
    </row>
    <row r="73" spans="2:6" s="96" customFormat="1" x14ac:dyDescent="0.3">
      <c r="B73" s="220" t="s">
        <v>48</v>
      </c>
      <c r="C73" s="221"/>
      <c r="D73" s="221"/>
      <c r="E73" s="222"/>
      <c r="F73" s="44">
        <f>SUM(F67:F72)</f>
        <v>0</v>
      </c>
    </row>
    <row r="74" spans="2:6" ht="18" customHeight="1" x14ac:dyDescent="0.3">
      <c r="B74" s="20"/>
      <c r="C74" s="21"/>
      <c r="D74" s="22"/>
      <c r="E74" s="18"/>
      <c r="F74" s="18"/>
    </row>
    <row r="75" spans="2:6" x14ac:dyDescent="0.3">
      <c r="B75" s="54" t="s">
        <v>238</v>
      </c>
      <c r="C75" s="16"/>
      <c r="D75" s="26"/>
      <c r="E75" s="24"/>
      <c r="F75" s="24"/>
    </row>
    <row r="76" spans="2:6" x14ac:dyDescent="0.3">
      <c r="B76" s="1" t="s">
        <v>21</v>
      </c>
      <c r="C76" s="135" t="s">
        <v>237</v>
      </c>
      <c r="D76" s="135"/>
      <c r="E76" s="135"/>
      <c r="F76" s="5" t="s">
        <v>13</v>
      </c>
    </row>
    <row r="77" spans="2:6" ht="33" x14ac:dyDescent="0.3">
      <c r="B77" s="1" t="s">
        <v>2</v>
      </c>
      <c r="C77" s="136" t="s">
        <v>111</v>
      </c>
      <c r="D77" s="136"/>
      <c r="E77" s="136"/>
      <c r="F77" s="60">
        <f>((MOD_1_REMUNERACAO_44H+MOD_2_ENCARGOS_BENEFICIOS_44H+MOD_3_PROVISAO_RESCISAO_44H)/DIVISOR_DE_HORAS)*((TEMPO_INTERVALO_REFEICAO/HORA_NORMAL)+PERC_HORA_EXTRA%)*DIAS_UTEIS_TRABALHADOS_NO_MES_44HORAS</f>
        <v>0</v>
      </c>
    </row>
    <row r="78" spans="2:6" x14ac:dyDescent="0.3">
      <c r="B78" s="216" t="s">
        <v>48</v>
      </c>
      <c r="C78" s="216"/>
      <c r="D78" s="216"/>
      <c r="E78" s="216"/>
      <c r="F78" s="44">
        <f>SUM(F77)</f>
        <v>0</v>
      </c>
    </row>
    <row r="79" spans="2:6" x14ac:dyDescent="0.3">
      <c r="C79" s="17"/>
      <c r="D79" s="17"/>
      <c r="E79" s="17"/>
      <c r="F79" s="17"/>
    </row>
    <row r="80" spans="2:6" x14ac:dyDescent="0.3">
      <c r="B80" s="54" t="s">
        <v>79</v>
      </c>
      <c r="C80" s="16"/>
      <c r="D80" s="16"/>
      <c r="E80" s="24"/>
      <c r="F80" s="24"/>
    </row>
    <row r="81" spans="2:6" ht="15.75" customHeight="1" x14ac:dyDescent="0.3">
      <c r="B81" s="52">
        <v>5</v>
      </c>
      <c r="C81" s="223" t="s">
        <v>0</v>
      </c>
      <c r="D81" s="223"/>
      <c r="E81" s="223"/>
      <c r="F81" s="53" t="s">
        <v>13</v>
      </c>
    </row>
    <row r="82" spans="2:6" x14ac:dyDescent="0.3">
      <c r="B82" s="47" t="s">
        <v>2</v>
      </c>
      <c r="C82" s="224" t="s">
        <v>16</v>
      </c>
      <c r="D82" s="224"/>
      <c r="E82" s="224"/>
      <c r="F82" s="63">
        <f>UNIFORMES</f>
        <v>0</v>
      </c>
    </row>
    <row r="83" spans="2:6" x14ac:dyDescent="0.3">
      <c r="B83" s="47" t="s">
        <v>3</v>
      </c>
      <c r="C83" s="225" t="s">
        <v>18</v>
      </c>
      <c r="D83" s="225"/>
      <c r="E83" s="225"/>
      <c r="F83" s="50">
        <f>MATERIAIS</f>
        <v>0</v>
      </c>
    </row>
    <row r="84" spans="2:6" x14ac:dyDescent="0.3">
      <c r="B84" s="47" t="s">
        <v>4</v>
      </c>
      <c r="C84" s="224" t="s">
        <v>17</v>
      </c>
      <c r="D84" s="224"/>
      <c r="E84" s="224"/>
      <c r="F84" s="63">
        <f>EQUIPAMENTOS_SUPERVISORES</f>
        <v>0</v>
      </c>
    </row>
    <row r="85" spans="2:6" x14ac:dyDescent="0.3">
      <c r="B85" s="47" t="s">
        <v>5</v>
      </c>
      <c r="C85" s="307" t="str">
        <f>OUTROS_INSUMOS_DESCRICAO</f>
        <v>Outros (Especificar)</v>
      </c>
      <c r="D85" s="225"/>
      <c r="E85" s="225"/>
      <c r="F85" s="50">
        <f>OUTROS_INSUMOS</f>
        <v>0</v>
      </c>
    </row>
    <row r="86" spans="2:6" x14ac:dyDescent="0.3">
      <c r="B86" s="308" t="s">
        <v>48</v>
      </c>
      <c r="C86" s="308"/>
      <c r="D86" s="308"/>
      <c r="E86" s="308"/>
      <c r="F86" s="46">
        <f>SUM(F82:F85)</f>
        <v>0</v>
      </c>
    </row>
    <row r="87" spans="2:6" ht="10.5" customHeight="1" x14ac:dyDescent="0.3">
      <c r="B87" s="20"/>
      <c r="C87" s="21"/>
      <c r="D87" s="22"/>
      <c r="E87" s="18"/>
      <c r="F87" s="18"/>
    </row>
    <row r="88" spans="2:6" ht="15" customHeight="1" x14ac:dyDescent="0.3">
      <c r="B88" s="264" t="s">
        <v>78</v>
      </c>
      <c r="C88" s="264"/>
      <c r="D88" s="264"/>
      <c r="E88" s="264"/>
      <c r="F88" s="264"/>
    </row>
    <row r="89" spans="2:6" x14ac:dyDescent="0.3">
      <c r="B89" s="1">
        <v>6</v>
      </c>
      <c r="C89" s="216" t="s">
        <v>22</v>
      </c>
      <c r="D89" s="216"/>
      <c r="E89" s="5" t="s">
        <v>1</v>
      </c>
      <c r="F89" s="5" t="s">
        <v>13</v>
      </c>
    </row>
    <row r="90" spans="2:6" x14ac:dyDescent="0.3">
      <c r="B90" s="1" t="s">
        <v>2</v>
      </c>
      <c r="C90" s="277" t="s">
        <v>80</v>
      </c>
      <c r="D90" s="277"/>
      <c r="E90" s="64">
        <f>PERC_CUSTOS_INDIRETOS</f>
        <v>0</v>
      </c>
      <c r="F90" s="61">
        <f>PERC_CUSTOS_INDIRETOS%*(MOD_1_REMUNERACAO_44H+MOD_2_ENCARGOS_BENEFICIOS_44H+MOD_3_PROVISAO_RESCISAO_44H+MOD_4_CUSTO_REPOSICAO_44H+MOD_5_INSUMOS_44H)</f>
        <v>0</v>
      </c>
    </row>
    <row r="91" spans="2:6" ht="15.75" customHeight="1" x14ac:dyDescent="0.3">
      <c r="B91" s="2" t="s">
        <v>3</v>
      </c>
      <c r="C91" s="276" t="s">
        <v>34</v>
      </c>
      <c r="D91" s="276"/>
      <c r="E91" s="51">
        <f>PERC_LUCRO</f>
        <v>0</v>
      </c>
      <c r="F91" s="39">
        <f>PERC_LUCRO%*(MOD_1_REMUNERACAO_44H+MOD_2_ENCARGOS_BENEFICIOS_44H+MOD_3_PROVISAO_RESCISAO_44H+MOD_4_CUSTO_REPOSICAO_44H+MOD_5_INSUMOS_44H+AL_6_A_CUSTOS_INDIRETOS_44H)</f>
        <v>0</v>
      </c>
    </row>
    <row r="92" spans="2:6" x14ac:dyDescent="0.3">
      <c r="B92" s="2" t="s">
        <v>4</v>
      </c>
      <c r="C92" s="277" t="s">
        <v>23</v>
      </c>
      <c r="D92" s="277"/>
      <c r="E92" s="64">
        <f>SUM(E93:E95)</f>
        <v>0</v>
      </c>
      <c r="F92" s="61">
        <f>SUM(F93:F95)</f>
        <v>0</v>
      </c>
    </row>
    <row r="93" spans="2:6" ht="15.75" customHeight="1" x14ac:dyDescent="0.3">
      <c r="B93" s="34" t="s">
        <v>81</v>
      </c>
      <c r="C93" s="306" t="s">
        <v>25</v>
      </c>
      <c r="D93" s="306"/>
      <c r="E93" s="35">
        <f>PERC_PIS</f>
        <v>0</v>
      </c>
      <c r="F93" s="66">
        <f>((MOD_1_REMUNERACAO_44H+MOD_2_ENCARGOS_BENEFICIOS_44H+MOD_3_PROVISAO_RESCISAO_44H+MOD_4_CUSTO_REPOSICAO_44H+MOD_5_INSUMOS_44H+AL_6_A_CUSTOS_INDIRETOS_44H+AL_6_B_LUCRO_44H)*PERC_PIS%)/(1-PERC_TRIBUTOS%)</f>
        <v>0</v>
      </c>
    </row>
    <row r="94" spans="2:6" x14ac:dyDescent="0.3">
      <c r="B94" s="34" t="s">
        <v>82</v>
      </c>
      <c r="C94" s="309" t="s">
        <v>26</v>
      </c>
      <c r="D94" s="309"/>
      <c r="E94" s="65">
        <f>PERC_COFINS</f>
        <v>0</v>
      </c>
      <c r="F94" s="67">
        <f>((MOD_1_REMUNERACAO_44H+MOD_2_ENCARGOS_BENEFICIOS_44H+MOD_3_PROVISAO_RESCISAO_44H+MOD_4_CUSTO_REPOSICAO_44H+MOD_5_INSUMOS_44H+AL_6_A_CUSTOS_INDIRETOS_44H+AL_6_B_LUCRO_44H)*PERC_COFINS%)/(1-PERC_TRIBUTOS%)</f>
        <v>0</v>
      </c>
    </row>
    <row r="95" spans="2:6" s="106" customFormat="1" x14ac:dyDescent="0.3">
      <c r="B95" s="34" t="s">
        <v>83</v>
      </c>
      <c r="C95" s="306" t="s">
        <v>27</v>
      </c>
      <c r="D95" s="306"/>
      <c r="E95" s="35">
        <f>PERC_ISS</f>
        <v>0</v>
      </c>
      <c r="F95" s="66">
        <f>((MOD_1_REMUNERACAO_44H+MOD_2_ENCARGOS_BENEFICIOS_44H+MOD_3_PROVISAO_RESCISAO_44H+MOD_4_CUSTO_REPOSICAO_44H+MOD_5_INSUMOS_44H+AL_6_A_CUSTOS_INDIRETOS_44H+AL_6_B_LUCRO_44H)*PERC_ISS%)/(1-PERC_TRIBUTOS%)</f>
        <v>0</v>
      </c>
    </row>
    <row r="96" spans="2:6" s="106" customFormat="1" x14ac:dyDescent="0.3">
      <c r="B96" s="220" t="s">
        <v>48</v>
      </c>
      <c r="C96" s="221"/>
      <c r="D96" s="221"/>
      <c r="E96" s="222"/>
      <c r="F96" s="40">
        <f>AL_6_A_CUSTOS_INDIRETOS_44H+AL_6_B_LUCRO_44H+AL_6_C_TRIBUTOS_44H</f>
        <v>0</v>
      </c>
    </row>
    <row r="97" spans="2:6" ht="19.5" customHeight="1" x14ac:dyDescent="0.3">
      <c r="B97" s="20"/>
      <c r="C97" s="21"/>
      <c r="D97" s="22"/>
      <c r="E97" s="18"/>
      <c r="F97" s="18"/>
    </row>
    <row r="98" spans="2:6" s="106" customFormat="1" ht="30.75" customHeight="1" x14ac:dyDescent="0.3">
      <c r="B98" s="55" t="s">
        <v>55</v>
      </c>
      <c r="C98" s="19"/>
      <c r="D98" s="19"/>
      <c r="E98" s="19"/>
      <c r="F98" s="27"/>
    </row>
    <row r="99" spans="2:6" s="107" customFormat="1" ht="16.5" customHeight="1" x14ac:dyDescent="0.3">
      <c r="B99" s="2" t="s">
        <v>100</v>
      </c>
      <c r="C99" s="213" t="s">
        <v>101</v>
      </c>
      <c r="D99" s="214"/>
      <c r="E99" s="215"/>
      <c r="F99" s="5" t="s">
        <v>19</v>
      </c>
    </row>
    <row r="100" spans="2:6" s="106" customFormat="1" x14ac:dyDescent="0.3">
      <c r="B100" s="1">
        <v>1</v>
      </c>
      <c r="C100" s="277" t="s">
        <v>9</v>
      </c>
      <c r="D100" s="277"/>
      <c r="E100" s="277"/>
      <c r="F100" s="61">
        <f>MOD_1_REMUNERACAO_44H</f>
        <v>0</v>
      </c>
    </row>
    <row r="101" spans="2:6" s="108" customFormat="1" ht="16.5" customHeight="1" x14ac:dyDescent="0.3">
      <c r="B101" s="2">
        <v>2</v>
      </c>
      <c r="C101" s="276" t="s">
        <v>102</v>
      </c>
      <c r="D101" s="276"/>
      <c r="E101" s="276"/>
      <c r="F101" s="39">
        <f>MOD_2_ENCARGOS_BENEFICIOS_44H</f>
        <v>0</v>
      </c>
    </row>
    <row r="102" spans="2:6" s="108" customFormat="1" x14ac:dyDescent="0.3">
      <c r="B102" s="2">
        <v>3</v>
      </c>
      <c r="C102" s="277" t="s">
        <v>50</v>
      </c>
      <c r="D102" s="277"/>
      <c r="E102" s="277"/>
      <c r="F102" s="61">
        <f>MOD_3_PROVISAO_RESCISAO_44H</f>
        <v>0</v>
      </c>
    </row>
    <row r="103" spans="2:6" s="108" customFormat="1" x14ac:dyDescent="0.3">
      <c r="B103" s="2">
        <v>4</v>
      </c>
      <c r="C103" s="276" t="s">
        <v>53</v>
      </c>
      <c r="D103" s="276"/>
      <c r="E103" s="276"/>
      <c r="F103" s="39">
        <f>MOD_4_CUSTO_REPOSICAO_44H</f>
        <v>0</v>
      </c>
    </row>
    <row r="104" spans="2:6" s="108" customFormat="1" x14ac:dyDescent="0.3">
      <c r="B104" s="2">
        <v>5</v>
      </c>
      <c r="C104" s="277" t="s">
        <v>0</v>
      </c>
      <c r="D104" s="277"/>
      <c r="E104" s="277"/>
      <c r="F104" s="61">
        <f>MOD_5_INSUMOS_44H</f>
        <v>0</v>
      </c>
    </row>
    <row r="105" spans="2:6" s="108" customFormat="1" x14ac:dyDescent="0.3">
      <c r="B105" s="2">
        <v>6</v>
      </c>
      <c r="C105" s="276" t="s">
        <v>22</v>
      </c>
      <c r="D105" s="276"/>
      <c r="E105" s="276"/>
      <c r="F105" s="39">
        <f>MOD_6_CUSTOS_IND_LUCRO_TRIB_44H</f>
        <v>0</v>
      </c>
    </row>
    <row r="106" spans="2:6" ht="16.5" customHeight="1" x14ac:dyDescent="0.3">
      <c r="B106" s="279" t="s">
        <v>103</v>
      </c>
      <c r="C106" s="279"/>
      <c r="D106" s="279"/>
      <c r="E106" s="279"/>
      <c r="F106" s="40">
        <f>SUM(F100:F105)</f>
        <v>0</v>
      </c>
    </row>
    <row r="107" spans="2:6" ht="16.5" customHeight="1" x14ac:dyDescent="0.3">
      <c r="B107" s="279" t="s">
        <v>32</v>
      </c>
      <c r="C107" s="279"/>
      <c r="D107" s="279"/>
      <c r="E107" s="279"/>
      <c r="F107" s="40">
        <f>F106*EMPREG_POR_POSTO_44H</f>
        <v>0</v>
      </c>
    </row>
    <row r="108" spans="2:6" x14ac:dyDescent="0.3">
      <c r="B108" s="26"/>
      <c r="C108" s="19"/>
      <c r="D108" s="19"/>
      <c r="E108" s="19"/>
      <c r="F108" s="27"/>
    </row>
  </sheetData>
  <customSheetViews>
    <customSheetView guid="{E22B0E03-E710-4313-B9E5-0BFE52A7E677}" showPageBreaks="1" view="pageBreakPreview">
      <selection activeCell="B1" sqref="B1:F1"/>
      <pageMargins left="0.17" right="0.17" top="0.31496062992125984" bottom="0.17" header="0.31496062992125984" footer="0.21"/>
      <printOptions horizontalCentered="1"/>
      <pageSetup paperSize="9" orientation="portrait" r:id="rId1"/>
    </customSheetView>
  </customSheetViews>
  <mergeCells count="88">
    <mergeCell ref="C18:E18"/>
    <mergeCell ref="D17:F17"/>
    <mergeCell ref="E15:F15"/>
    <mergeCell ref="C15:D15"/>
    <mergeCell ref="C49:E49"/>
    <mergeCell ref="C43:D43"/>
    <mergeCell ref="C26:E26"/>
    <mergeCell ref="C27:E27"/>
    <mergeCell ref="C28:E28"/>
    <mergeCell ref="C33:D33"/>
    <mergeCell ref="C34:D34"/>
    <mergeCell ref="C35:D35"/>
    <mergeCell ref="C39:D39"/>
    <mergeCell ref="C41:D41"/>
    <mergeCell ref="C40:D40"/>
    <mergeCell ref="C24:E24"/>
    <mergeCell ref="C50:E50"/>
    <mergeCell ref="B1:F1"/>
    <mergeCell ref="B2:D2"/>
    <mergeCell ref="B7:F7"/>
    <mergeCell ref="D9:F9"/>
    <mergeCell ref="C10:E10"/>
    <mergeCell ref="B3:F3"/>
    <mergeCell ref="B4:F4"/>
    <mergeCell ref="B5:C5"/>
    <mergeCell ref="D5:F5"/>
    <mergeCell ref="B6:C6"/>
    <mergeCell ref="D6:E6"/>
    <mergeCell ref="C8:E8"/>
    <mergeCell ref="C11:E11"/>
    <mergeCell ref="D16:F16"/>
    <mergeCell ref="B21:E21"/>
    <mergeCell ref="C12:E12"/>
    <mergeCell ref="B29:E29"/>
    <mergeCell ref="B20:F20"/>
    <mergeCell ref="C67:D67"/>
    <mergeCell ref="B47:E47"/>
    <mergeCell ref="C44:D44"/>
    <mergeCell ref="C45:D45"/>
    <mergeCell ref="C46:D46"/>
    <mergeCell ref="C58:D58"/>
    <mergeCell ref="C59:D59"/>
    <mergeCell ref="B36:E36"/>
    <mergeCell ref="C52:E52"/>
    <mergeCell ref="C53:E53"/>
    <mergeCell ref="C23:E23"/>
    <mergeCell ref="C25:E25"/>
    <mergeCell ref="C42:D42"/>
    <mergeCell ref="B106:E106"/>
    <mergeCell ref="B107:E107"/>
    <mergeCell ref="C102:E102"/>
    <mergeCell ref="C95:D95"/>
    <mergeCell ref="B62:E62"/>
    <mergeCell ref="B73:E73"/>
    <mergeCell ref="B96:E96"/>
    <mergeCell ref="C66:D66"/>
    <mergeCell ref="C94:D94"/>
    <mergeCell ref="C100:E100"/>
    <mergeCell ref="C101:E101"/>
    <mergeCell ref="C70:D70"/>
    <mergeCell ref="C83:E83"/>
    <mergeCell ref="B86:E86"/>
    <mergeCell ref="C84:E84"/>
    <mergeCell ref="C71:D71"/>
    <mergeCell ref="B88:F88"/>
    <mergeCell ref="C85:E85"/>
    <mergeCell ref="C103:E103"/>
    <mergeCell ref="B37:F37"/>
    <mergeCell ref="C38:D38"/>
    <mergeCell ref="C60:D60"/>
    <mergeCell ref="C61:D61"/>
    <mergeCell ref="C51:E51"/>
    <mergeCell ref="B55:E55"/>
    <mergeCell ref="C72:D72"/>
    <mergeCell ref="C54:E54"/>
    <mergeCell ref="C81:E81"/>
    <mergeCell ref="C82:E82"/>
    <mergeCell ref="B78:E78"/>
    <mergeCell ref="C68:D68"/>
    <mergeCell ref="C69:D69"/>
    <mergeCell ref="C105:E105"/>
    <mergeCell ref="C104:E104"/>
    <mergeCell ref="C99:E99"/>
    <mergeCell ref="C89:D89"/>
    <mergeCell ref="C90:D90"/>
    <mergeCell ref="C91:D91"/>
    <mergeCell ref="C92:D92"/>
    <mergeCell ref="C93:D93"/>
  </mergeCells>
  <printOptions horizontalCentered="1"/>
  <pageMargins left="0.17" right="0.17" top="0.23" bottom="0.17" header="0.25" footer="0.17"/>
  <pageSetup paperSize="9" orientation="portrait" r:id="rId2"/>
  <ignoredErrors>
    <ignoredError sqref="B1:F1 B15:F16 B3:F4 B7:F8 B2:F2 B10:F11 B9:C9 E9:F9 C17:F18 B12:E12 D5:F6" unlocked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J36"/>
  <sheetViews>
    <sheetView zoomScaleNormal="100" zoomScaleSheetLayoutView="100" workbookViewId="0">
      <selection activeCell="B14" sqref="B14:G14"/>
    </sheetView>
  </sheetViews>
  <sheetFormatPr defaultRowHeight="14.25" x14ac:dyDescent="0.25"/>
  <cols>
    <col min="1" max="1" width="1.7109375" style="113" customWidth="1"/>
    <col min="2" max="2" width="6" style="113" customWidth="1"/>
    <col min="3" max="3" width="36.85546875" style="113" customWidth="1"/>
    <col min="4" max="4" width="16.28515625" style="113" customWidth="1"/>
    <col min="5" max="5" width="16.140625" style="113" customWidth="1"/>
    <col min="6" max="6" width="15.7109375" style="113" customWidth="1"/>
    <col min="7" max="7" width="21" style="113" customWidth="1"/>
    <col min="8" max="8" width="15" style="113" customWidth="1"/>
    <col min="9" max="9" width="15.28515625" style="113" customWidth="1"/>
    <col min="10" max="10" width="19.42578125" style="113" customWidth="1"/>
    <col min="11" max="16384" width="9.140625" style="113"/>
  </cols>
  <sheetData>
    <row r="1" spans="2:7" s="17" customFormat="1" ht="20.25" x14ac:dyDescent="0.35">
      <c r="B1" s="282" t="str">
        <f>RAMO</f>
        <v>RAMO:</v>
      </c>
      <c r="C1" s="283"/>
      <c r="D1" s="283"/>
      <c r="E1" s="283"/>
      <c r="F1" s="284"/>
    </row>
    <row r="2" spans="2:7" s="17" customFormat="1" ht="20.25" x14ac:dyDescent="0.35">
      <c r="B2" s="285" t="str">
        <f>UG</f>
        <v>UNIDADE GESTORA (SIGLA):</v>
      </c>
      <c r="C2" s="286"/>
      <c r="D2" s="287"/>
      <c r="E2" s="111" t="s">
        <v>59</v>
      </c>
      <c r="F2" s="112" t="str">
        <f>DATA_APRESENTACAO_PROPOSTA</f>
        <v>XX/XX/20XX</v>
      </c>
    </row>
    <row r="3" spans="2:7" s="17" customFormat="1" ht="8.25" customHeight="1" x14ac:dyDescent="0.3">
      <c r="B3" s="96"/>
      <c r="C3" s="96"/>
      <c r="D3" s="96"/>
      <c r="E3" s="96"/>
      <c r="F3" s="96"/>
    </row>
    <row r="4" spans="2:7" s="17" customFormat="1" ht="20.25" x14ac:dyDescent="0.3">
      <c r="B4" s="336" t="s">
        <v>24</v>
      </c>
      <c r="C4" s="336"/>
      <c r="D4" s="336"/>
      <c r="E4" s="336"/>
      <c r="F4" s="336"/>
      <c r="G4" s="336"/>
    </row>
    <row r="5" spans="2:7" s="17" customFormat="1" ht="57.75" customHeight="1" x14ac:dyDescent="0.3">
      <c r="B5" s="1" t="s">
        <v>31</v>
      </c>
      <c r="C5" s="3" t="s">
        <v>30</v>
      </c>
      <c r="D5" s="2" t="s">
        <v>188</v>
      </c>
      <c r="E5" s="2" t="s">
        <v>150</v>
      </c>
      <c r="F5" s="2" t="s">
        <v>33</v>
      </c>
      <c r="G5" s="5" t="s">
        <v>151</v>
      </c>
    </row>
    <row r="6" spans="2:7" s="17" customFormat="1" ht="16.5" x14ac:dyDescent="0.3">
      <c r="B6" s="1" t="s">
        <v>12</v>
      </c>
      <c r="C6" s="128" t="s">
        <v>245</v>
      </c>
      <c r="D6" s="9" t="str">
        <f t="shared" ref="D6:D12" si="0">IF(LOCAL_DE_EXECUCAO="","",LOCAL_DE_EXECUCAO)</f>
        <v/>
      </c>
      <c r="E6" s="9">
        <f>QTDE_DE_POSTOS_SUP_DIU_44</f>
        <v>1</v>
      </c>
      <c r="F6" s="10">
        <f>VALOR_UNIT_SUPER_44H</f>
        <v>0</v>
      </c>
      <c r="G6" s="11">
        <f>F6*E6</f>
        <v>0</v>
      </c>
    </row>
    <row r="7" spans="2:7" s="17" customFormat="1" ht="16.5" x14ac:dyDescent="0.3">
      <c r="B7" s="2" t="s">
        <v>28</v>
      </c>
      <c r="C7" s="129" t="s">
        <v>246</v>
      </c>
      <c r="D7" s="12" t="str">
        <f t="shared" si="0"/>
        <v/>
      </c>
      <c r="E7" s="12">
        <f>QTDE_DE_POSTOS_12X36_SUP_DIU</f>
        <v>1</v>
      </c>
      <c r="F7" s="13">
        <f>VALOR_UNIT_SUPER_12X36_DIU</f>
        <v>0</v>
      </c>
      <c r="G7" s="14">
        <f t="shared" ref="G7:G12" si="1">F7*E7</f>
        <v>0</v>
      </c>
    </row>
    <row r="8" spans="2:7" s="17" customFormat="1" ht="16.5" x14ac:dyDescent="0.3">
      <c r="B8" s="2" t="s">
        <v>29</v>
      </c>
      <c r="C8" s="128" t="s">
        <v>247</v>
      </c>
      <c r="D8" s="9" t="str">
        <f t="shared" si="0"/>
        <v/>
      </c>
      <c r="E8" s="9">
        <f>QTDE_DE_POSTOS_12X36_SUP_NOT</f>
        <v>1</v>
      </c>
      <c r="F8" s="10">
        <f>VALOR_UNIT_SUPER_12X36_NOT</f>
        <v>0</v>
      </c>
      <c r="G8" s="11">
        <f t="shared" si="1"/>
        <v>0</v>
      </c>
    </row>
    <row r="9" spans="2:7" s="17" customFormat="1" ht="16.5" x14ac:dyDescent="0.3">
      <c r="B9" s="69" t="s">
        <v>322</v>
      </c>
      <c r="C9" s="129" t="s">
        <v>218</v>
      </c>
      <c r="D9" s="12" t="str">
        <f t="shared" si="0"/>
        <v/>
      </c>
      <c r="E9" s="12">
        <f>QTDE_DE_POSTOS_12X36_VIG_DIU</f>
        <v>40</v>
      </c>
      <c r="F9" s="13">
        <f>VALOR_UNIT_VIG_12X36_DIU</f>
        <v>0</v>
      </c>
      <c r="G9" s="14">
        <f t="shared" si="1"/>
        <v>0</v>
      </c>
    </row>
    <row r="10" spans="2:7" s="17" customFormat="1" ht="16.5" x14ac:dyDescent="0.3">
      <c r="B10" s="69" t="s">
        <v>323</v>
      </c>
      <c r="C10" s="128" t="s">
        <v>219</v>
      </c>
      <c r="D10" s="9" t="str">
        <f t="shared" si="0"/>
        <v/>
      </c>
      <c r="E10" s="9">
        <f>QTDE_DE_POSTOS_12X36_VIG_NOT</f>
        <v>40</v>
      </c>
      <c r="F10" s="10">
        <f>VALOR_UNIT_VIG_12X36_NOT</f>
        <v>0</v>
      </c>
      <c r="G10" s="11">
        <f t="shared" si="1"/>
        <v>0</v>
      </c>
    </row>
    <row r="11" spans="2:7" s="17" customFormat="1" ht="16.5" x14ac:dyDescent="0.3">
      <c r="B11" s="69" t="s">
        <v>324</v>
      </c>
      <c r="C11" s="129" t="s">
        <v>220</v>
      </c>
      <c r="D11" s="12" t="str">
        <f t="shared" si="0"/>
        <v/>
      </c>
      <c r="E11" s="12">
        <f>QTDE_DE_POSTOS_VIG_44</f>
        <v>27</v>
      </c>
      <c r="F11" s="13">
        <f>VALOR_UNIT_VIG_44H</f>
        <v>0</v>
      </c>
      <c r="G11" s="14">
        <f t="shared" si="1"/>
        <v>0</v>
      </c>
    </row>
    <row r="12" spans="2:7" s="17" customFormat="1" ht="16.5" x14ac:dyDescent="0.3">
      <c r="B12" s="69" t="s">
        <v>325</v>
      </c>
      <c r="C12" s="128" t="s">
        <v>248</v>
      </c>
      <c r="D12" s="9" t="str">
        <f t="shared" si="0"/>
        <v/>
      </c>
      <c r="E12" s="9">
        <f>QTDE_DE_POSTOS_VIG_44_ÑLETAL</f>
        <v>6</v>
      </c>
      <c r="F12" s="10">
        <f>VALOR_UNIT_VIG_44H_ÑLETAL</f>
        <v>0</v>
      </c>
      <c r="G12" s="11">
        <f t="shared" si="1"/>
        <v>0</v>
      </c>
    </row>
    <row r="13" spans="2:7" s="17" customFormat="1" ht="16.5" customHeight="1" x14ac:dyDescent="0.3">
      <c r="B13" s="213" t="s">
        <v>336</v>
      </c>
      <c r="C13" s="214"/>
      <c r="D13" s="215"/>
      <c r="E13" s="6">
        <f>IF(SUM(E6:E12)=0,"",SUM(E6:E12))</f>
        <v>116</v>
      </c>
      <c r="F13" s="7"/>
      <c r="G13" s="8">
        <f>SUM(G6:G12)</f>
        <v>0</v>
      </c>
    </row>
    <row r="14" spans="2:7" ht="36.75" customHeight="1" x14ac:dyDescent="0.25">
      <c r="B14" s="337" t="s">
        <v>326</v>
      </c>
      <c r="C14" s="337"/>
      <c r="D14" s="337"/>
      <c r="E14" s="337"/>
      <c r="F14" s="337"/>
      <c r="G14" s="337"/>
    </row>
    <row r="15" spans="2:7" ht="33" x14ac:dyDescent="0.25">
      <c r="B15" s="144" t="s">
        <v>31</v>
      </c>
      <c r="C15" s="144" t="s">
        <v>30</v>
      </c>
      <c r="D15" s="194" t="s">
        <v>327</v>
      </c>
      <c r="E15" s="194" t="s">
        <v>328</v>
      </c>
      <c r="F15" s="194" t="s">
        <v>329</v>
      </c>
    </row>
    <row r="16" spans="2:7" ht="16.5" x14ac:dyDescent="0.25">
      <c r="B16" s="144" t="s">
        <v>12</v>
      </c>
      <c r="C16" s="192" t="s">
        <v>330</v>
      </c>
      <c r="D16" s="195">
        <f>QTDD_FUNCIONARIOS</f>
        <v>198</v>
      </c>
      <c r="E16" s="196">
        <f>AUXILIO_SAUDE</f>
        <v>0</v>
      </c>
      <c r="F16" s="196">
        <f>E16*D16</f>
        <v>0</v>
      </c>
    </row>
    <row r="17" spans="2:10" ht="16.5" x14ac:dyDescent="0.25">
      <c r="B17" s="194" t="s">
        <v>28</v>
      </c>
      <c r="C17" s="193" t="s">
        <v>331</v>
      </c>
      <c r="D17" s="197">
        <f>D16</f>
        <v>198</v>
      </c>
      <c r="E17" s="198">
        <f>ASSIST_ODONTO</f>
        <v>0</v>
      </c>
      <c r="F17" s="198">
        <f>E17*D17</f>
        <v>0</v>
      </c>
    </row>
    <row r="18" spans="2:10" ht="16.5" x14ac:dyDescent="0.25">
      <c r="B18" s="194" t="s">
        <v>29</v>
      </c>
      <c r="C18" s="192" t="s">
        <v>332</v>
      </c>
      <c r="D18" s="195">
        <f>D17</f>
        <v>198</v>
      </c>
      <c r="E18" s="196">
        <f>SEGURO_VIDA</f>
        <v>0</v>
      </c>
      <c r="F18" s="196">
        <f t="shared" ref="F18" si="2">E18*D18</f>
        <v>0</v>
      </c>
    </row>
    <row r="19" spans="2:10" ht="16.5" customHeight="1" x14ac:dyDescent="0.25">
      <c r="B19" s="338" t="s">
        <v>333</v>
      </c>
      <c r="C19" s="339"/>
      <c r="D19" s="339"/>
      <c r="E19" s="340"/>
      <c r="F19" s="199">
        <f>SUM(F16:F18)</f>
        <v>0</v>
      </c>
    </row>
    <row r="20" spans="2:10" ht="16.5" customHeight="1" x14ac:dyDescent="0.25">
      <c r="B20" s="338" t="s">
        <v>334</v>
      </c>
      <c r="C20" s="339"/>
      <c r="D20" s="339"/>
      <c r="E20" s="339"/>
      <c r="F20" s="200">
        <f>(F19+G13)*12</f>
        <v>0</v>
      </c>
    </row>
    <row r="21" spans="2:10" ht="16.5" customHeight="1" x14ac:dyDescent="0.25">
      <c r="B21" s="338" t="s">
        <v>335</v>
      </c>
      <c r="C21" s="339"/>
      <c r="D21" s="339"/>
      <c r="E21" s="339"/>
      <c r="F21" s="200">
        <f>F20*0.05</f>
        <v>0</v>
      </c>
    </row>
    <row r="23" spans="2:10" s="17" customFormat="1" ht="20.25" x14ac:dyDescent="0.3">
      <c r="B23" s="89" t="s">
        <v>155</v>
      </c>
      <c r="C23" s="89"/>
      <c r="D23" s="89"/>
      <c r="E23" s="89"/>
      <c r="F23" s="89"/>
    </row>
    <row r="24" spans="2:10" ht="49.5" x14ac:dyDescent="0.25">
      <c r="B24" s="326" t="s">
        <v>149</v>
      </c>
      <c r="C24" s="327"/>
      <c r="D24" s="194" t="str">
        <f>SUPERVISOR_12X36_DIU</f>
        <v>Supervisor 12x36 horas -diurno</v>
      </c>
      <c r="E24" s="194" t="str">
        <f>SUPERVISOR_12X36_NOT</f>
        <v>Supervisor 12x36 horas - noturno</v>
      </c>
      <c r="F24" s="194" t="str">
        <f>SUPERVISOR_44H</f>
        <v>Supervisor 44 horas semanais</v>
      </c>
      <c r="G24" s="194" t="str">
        <f>VIGILANTE_12X36_DIU</f>
        <v>Vigilância 12x36 horas - diurno</v>
      </c>
      <c r="H24" s="194" t="str">
        <f>VIGILANTE_12X36_NOT</f>
        <v>Vigilância 12x36 horas - noturno</v>
      </c>
      <c r="I24" s="194" t="str">
        <f>VIGILANTE_44H</f>
        <v>Vigilância 44 horas semanais</v>
      </c>
      <c r="J24" s="194" t="str">
        <f>VIGILANTE_44H_ÑLETAL</f>
        <v>Vigilância 44 horas semanais - Ñ LETAL</v>
      </c>
    </row>
    <row r="25" spans="2:10" ht="16.5" x14ac:dyDescent="0.25">
      <c r="B25" s="332" t="s">
        <v>153</v>
      </c>
      <c r="C25" s="333"/>
      <c r="D25" s="73">
        <f>SUM(SUBMOD_2_1_DEC_TERC_ADIC_FERIAS_12X36_DIU,SUBMOD_2_2_GPS_FGTS_12X36_DIU,MOD_3_PROVISAO_RESCISAO_12X36_DIU,SUBMOD_4_1_SUBSTITUTO_12X36_DIU)</f>
        <v>0</v>
      </c>
      <c r="E25" s="73">
        <f>SUM(SUBMOD_2_1_DEC_TERC_ADIC_FERIAS_12X36_NOT,SUBMOD_2_2_GPS_FGTS_12X36_NOT,MOD_3_PROVISAO_RESCISAO_12X36_NOT,SUBMOD_4_1_SUBSTITUTO_12X36_NOT)</f>
        <v>0</v>
      </c>
      <c r="F25" s="73">
        <f>SUM(SUBMOD_2_1_DEC_TERC_ADIC_FERIAS_44H,SUBMOD_2_2_GPS_FGTS_44H,MOD_3_PROVISAO_RESCISAO_44H,SUBMOD_4_1_AUSENCIAS_LEGAIS_44H)</f>
        <v>0</v>
      </c>
      <c r="G25" s="73">
        <f>SUM('VIGILANTE 12X36 DIU'!SUBMOD_2_1_DEC_TERC_ADIC_FERIAS_12X36_DIU,'VIGILANTE 12X36 DIU'!SUBMOD_2_2_GPS_FGTS_12X36_DIU,'VIGILANTE 12X36 DIU'!MOD_3_PROVISAO_RESCISAO_12X36_DIU,'VIGILANTE 12X36 DIU'!SUBMOD_4_1_SUBSTITUTO_12X36_DIU)</f>
        <v>0</v>
      </c>
      <c r="H25" s="73">
        <f>SUM('VIGILANTE 12x36 - NOT'!SUBMOD_2_1_DEC_TERC_ADIC_FERIAS_12X36_NOT,'VIGILANTE 12x36 - NOT'!SUBMOD_2_2_GPS_FGTS_12X36_NOT,'VIGILANTE 12x36 - NOT'!MOD_3_PROVISAO_RESCISAO_12X36_NOT,'VIGILANTE 12x36 - NOT'!SUBMOD_4_1_SUBSTITUTO_12X36_NOT)</f>
        <v>0</v>
      </c>
      <c r="I25" s="73">
        <f>SUM('VIGILANTE 44 H'!SUBMOD_2_1_DEC_TERC_ADIC_FERIAS_44H,'VIGILANTE 44 H'!SUBMOD_2_2_GPS_FGTS_44H,'VIGILANTE 44 H'!MOD_3_PROVISAO_RESCISAO_44H,'VIGILANTE 44 H'!SUBMOD_4_1_AUSENCIAS_LEGAIS_44H)</f>
        <v>0</v>
      </c>
      <c r="J25" s="73">
        <f>SUM('VIGILANTE 44 H Ñ LETAL'!SUBMOD_2_1_DEC_TERC_ADIC_FERIAS_44H,'VIGILANTE 44 H Ñ LETAL'!SUBMOD_2_2_GPS_FGTS_44H,'VIGILANTE 44 H Ñ LETAL'!MOD_3_PROVISAO_RESCISAO_44H,'VIGILANTE 44 H Ñ LETAL'!SUBMOD_4_1_AUSENCIAS_LEGAIS_44H)</f>
        <v>0</v>
      </c>
    </row>
    <row r="26" spans="2:10" ht="16.5" x14ac:dyDescent="0.25">
      <c r="B26" s="207" t="s">
        <v>152</v>
      </c>
      <c r="C26" s="209"/>
      <c r="D26" s="74">
        <f>MOD_1_REMUNERACAO_12X36_DIU</f>
        <v>0</v>
      </c>
      <c r="E26" s="74">
        <f>MOD_1_REMUNERACAO_12X36_NOT</f>
        <v>0</v>
      </c>
      <c r="F26" s="74">
        <f>MOD_1_REMUNERACAO_44H</f>
        <v>0</v>
      </c>
      <c r="G26" s="74">
        <f>'VIGILANTE 12X36 DIU'!MOD_1_REMUNERACAO_12X36_DIU</f>
        <v>0</v>
      </c>
      <c r="H26" s="74">
        <f>'VIGILANTE 12x36 - NOT'!MOD_1_REMUNERACAO_12X36_NOT</f>
        <v>0</v>
      </c>
      <c r="I26" s="74">
        <f>'VIGILANTE 44 H'!MOD_1_REMUNERACAO_44H</f>
        <v>0</v>
      </c>
      <c r="J26" s="74">
        <f>'VIGILANTE 44 H Ñ LETAL'!MOD_1_REMUNERACAO_44H</f>
        <v>0</v>
      </c>
    </row>
    <row r="27" spans="2:10" ht="33.75" customHeight="1" x14ac:dyDescent="0.25">
      <c r="B27" s="303" t="s">
        <v>217</v>
      </c>
      <c r="C27" s="304"/>
      <c r="D27" s="72" t="str">
        <f>IF(IFERROR(D25/D26,0)=0,"",IFERROR(D25/D26,0))</f>
        <v/>
      </c>
      <c r="E27" s="72" t="str">
        <f>IF(IFERROR(E25/E26,0)=0,"",IFERROR(E25/E26,0))</f>
        <v/>
      </c>
      <c r="F27" s="72" t="str">
        <f>IF(IFERROR(F25/F26,0)=0,"",IFERROR(F25/F26,0))</f>
        <v/>
      </c>
      <c r="G27" s="72" t="str">
        <f t="shared" ref="G27:J27" si="3">IF(IFERROR(G25/G26,0)=0,"",IFERROR(G25/G26,0))</f>
        <v/>
      </c>
      <c r="H27" s="72" t="str">
        <f t="shared" si="3"/>
        <v/>
      </c>
      <c r="I27" s="72" t="str">
        <f t="shared" si="3"/>
        <v/>
      </c>
      <c r="J27" s="72" t="str">
        <f t="shared" si="3"/>
        <v/>
      </c>
    </row>
    <row r="28" spans="2:10" x14ac:dyDescent="0.25">
      <c r="B28" s="114" t="s">
        <v>154</v>
      </c>
      <c r="C28" s="114"/>
      <c r="D28" s="114"/>
    </row>
    <row r="30" spans="2:10" s="17" customFormat="1" ht="20.25" x14ac:dyDescent="0.3">
      <c r="B30" s="89" t="s">
        <v>185</v>
      </c>
      <c r="C30" s="89"/>
      <c r="D30" s="89"/>
      <c r="E30" s="89"/>
      <c r="F30" s="89"/>
    </row>
    <row r="31" spans="2:10" ht="49.5" x14ac:dyDescent="0.25">
      <c r="B31" s="326" t="s">
        <v>149</v>
      </c>
      <c r="C31" s="327"/>
      <c r="D31" s="194" t="str">
        <f>SUPERVISOR_12X36_DIU</f>
        <v>Supervisor 12x36 horas -diurno</v>
      </c>
      <c r="E31" s="194" t="str">
        <f>SUPERVISOR_12X36_NOT</f>
        <v>Supervisor 12x36 horas - noturno</v>
      </c>
      <c r="F31" s="194" t="str">
        <f>SUPERVISOR_44H</f>
        <v>Supervisor 44 horas semanais</v>
      </c>
      <c r="G31" s="194" t="str">
        <f>VIGILANTE_12X36_DIU</f>
        <v>Vigilância 12x36 horas - diurno</v>
      </c>
      <c r="H31" s="194" t="str">
        <f>VIGILANTE_12X36_NOT</f>
        <v>Vigilância 12x36 horas - noturno</v>
      </c>
      <c r="I31" s="194" t="str">
        <f>VIGILANTE_44H</f>
        <v>Vigilância 44 horas semanais</v>
      </c>
      <c r="J31" s="194" t="str">
        <f>VIGILANTE_44H_ÑLETAL</f>
        <v>Vigilância 44 horas semanais - Ñ LETAL</v>
      </c>
    </row>
    <row r="32" spans="2:10" s="114" customFormat="1" ht="16.5" x14ac:dyDescent="0.25">
      <c r="B32" s="328" t="s">
        <v>186</v>
      </c>
      <c r="C32" s="329"/>
      <c r="D32" s="81" t="str">
        <f>IF(VALOR_UNIT_SUPER_12X36_DIU=0,"",VALOR_UNIT_SUPER_12X36_DIU)</f>
        <v/>
      </c>
      <c r="E32" s="81" t="str">
        <f>IF(VALOR_UNIT_SUPER_12X36_NOT=0,"",VALOR_UNIT_SUPER_12X36_NOT)</f>
        <v/>
      </c>
      <c r="F32" s="81" t="str">
        <f>IF(VALOR_UNIT_SUPER_44H=0,"",VALOR_UNIT_SUPER_44H)</f>
        <v/>
      </c>
      <c r="G32" s="81" t="str">
        <f>IF(VALOR_UNIT_VIG_12X36_DIU=0,"",VALOR_UNIT_VIG_12X36_DIU)</f>
        <v/>
      </c>
      <c r="H32" s="81" t="str">
        <f>IF(VALOR_UNIT_VIG_12X36_NOT=0,"",VALOR_UNIT_VIG_12X36_NOT)</f>
        <v/>
      </c>
      <c r="I32" s="81" t="str">
        <f>IF(VALOR_UNIT_VIG_44H=0,"",VALOR_UNIT_VIG_44H)</f>
        <v/>
      </c>
      <c r="J32" s="81" t="str">
        <f>IF(VALOR_UNIT_VIG_44H_ÑLETAL=0,"",VALOR_UNIT_VIG_44H_ÑLETAL)</f>
        <v/>
      </c>
    </row>
    <row r="33" spans="2:10" ht="33" customHeight="1" x14ac:dyDescent="0.25">
      <c r="B33" s="330" t="s">
        <v>193</v>
      </c>
      <c r="C33" s="331"/>
      <c r="D33" s="14" t="str">
        <f>IF(SUMIF('LIMITES-SEGES'!$A:$A,'INSERÇÃO-DE-DADOS'!$F$13,'LIMITES-SEGES'!C:C)=0,"",SUMIF('LIMITES-SEGES'!$A:$A,'INSERÇÃO-DE-DADOS'!$F$13,'LIMITES-SEGES'!C:C))</f>
        <v/>
      </c>
      <c r="E33" s="14" t="str">
        <f>IF(SUMIF('LIMITES-SEGES'!$A:$A,'INSERÇÃO-DE-DADOS'!$F$13,'LIMITES-SEGES'!E:E)=0,"",SUMIF('LIMITES-SEGES'!$A:$A,'INSERÇÃO-DE-DADOS'!$F$13,'LIMITES-SEGES'!E:E))</f>
        <v/>
      </c>
      <c r="F33" s="14" t="str">
        <f>IF(SUMIF('LIMITES-SEGES'!$A:$A,'INSERÇÃO-DE-DADOS'!$F$13,'LIMITES-SEGES'!G:G)=0,"",SUMIF('LIMITES-SEGES'!$A:$A,'INSERÇÃO-DE-DADOS'!$F$13,'LIMITES-SEGES'!G:G))</f>
        <v/>
      </c>
      <c r="G33" s="14" t="str">
        <f>IF(SUMIF('LIMITES-SEGES'!$A:$A,'INSERÇÃO-DE-DADOS'!$F$13,'LIMITES-SEGES'!F:F)=0,"",SUMIF('LIMITES-SEGES'!$A:$A,'INSERÇÃO-DE-DADOS'!$F$13,'LIMITES-SEGES'!F:F))</f>
        <v/>
      </c>
      <c r="H33" s="14" t="str">
        <f>IF(SUMIF('LIMITES-SEGES'!$A:$A,'INSERÇÃO-DE-DADOS'!$F$13,'LIMITES-SEGES'!H:H)=0,"",SUMIF('LIMITES-SEGES'!$A:$A,'INSERÇÃO-DE-DADOS'!$F$13,'LIMITES-SEGES'!H:H))</f>
        <v/>
      </c>
      <c r="I33" s="14" t="str">
        <f>IF(SUMIF('LIMITES-SEGES'!$A:$A,'INSERÇÃO-DE-DADOS'!$F$13,'LIMITES-SEGES'!J:J)=0,"",SUMIF('LIMITES-SEGES'!$A:$A,'INSERÇÃO-DE-DADOS'!$F$13,'LIMITES-SEGES'!J:J))</f>
        <v/>
      </c>
      <c r="J33" s="14" t="str">
        <f>IF(SUMIF('LIMITES-SEGES'!$A:$A,'INSERÇÃO-DE-DADOS'!$F$13,'LIMITES-SEGES'!K:K)=0,"",SUMIF('LIMITES-SEGES'!$A:$A,'INSERÇÃO-DE-DADOS'!$F$13,'LIMITES-SEGES'!K:K))</f>
        <v/>
      </c>
    </row>
    <row r="34" spans="2:10" ht="70.5" customHeight="1" x14ac:dyDescent="0.25">
      <c r="B34" s="303" t="s">
        <v>195</v>
      </c>
      <c r="C34" s="304"/>
      <c r="D34" s="72" t="str">
        <f t="shared" ref="D34:J34" si="4">IF(D32="","Não se aplica.",IF(D33&lt;=D32,"SIM, está em conformidade.", "NÃO, é inferior."))</f>
        <v>Não se aplica.</v>
      </c>
      <c r="E34" s="72" t="str">
        <f t="shared" si="4"/>
        <v>Não se aplica.</v>
      </c>
      <c r="F34" s="72" t="str">
        <f t="shared" si="4"/>
        <v>Não se aplica.</v>
      </c>
      <c r="G34" s="72" t="str">
        <f t="shared" si="4"/>
        <v>Não se aplica.</v>
      </c>
      <c r="H34" s="72" t="str">
        <f t="shared" si="4"/>
        <v>Não se aplica.</v>
      </c>
      <c r="I34" s="72" t="str">
        <f t="shared" si="4"/>
        <v>Não se aplica.</v>
      </c>
      <c r="J34" s="72" t="str">
        <f t="shared" si="4"/>
        <v>Não se aplica.</v>
      </c>
    </row>
    <row r="35" spans="2:10" ht="34.5" customHeight="1" x14ac:dyDescent="0.25">
      <c r="B35" s="334" t="s">
        <v>194</v>
      </c>
      <c r="C35" s="335"/>
      <c r="D35" s="60" t="str">
        <f>IF(SUMIF('LIMITES-SEGES'!$A:$A,'INSERÇÃO-DE-DADOS'!$F$13,'LIMITES-SEGES'!D:D)=0,"",SUMIF('LIMITES-SEGES'!$A:$A,'INSERÇÃO-DE-DADOS'!$F$13,'LIMITES-SEGES'!D:D))</f>
        <v/>
      </c>
      <c r="E35" s="60" t="str">
        <f>IF(SUMIF('LIMITES-SEGES'!$A:$A,'INSERÇÃO-DE-DADOS'!$F$13,'LIMITES-SEGES'!F:F)=0,"",SUMIF('LIMITES-SEGES'!$A:$A,'INSERÇÃO-DE-DADOS'!$F$13,'LIMITES-SEGES'!F:F))</f>
        <v/>
      </c>
      <c r="F35" s="60" t="str">
        <f>IF(SUMIF('LIMITES-SEGES'!$A:$A,'INSERÇÃO-DE-DADOS'!$F$13,'LIMITES-SEGES'!H:H)=0,"",SUMIF('LIMITES-SEGES'!$A:$A,'INSERÇÃO-DE-DADOS'!$F$13,'LIMITES-SEGES'!H:H))</f>
        <v/>
      </c>
      <c r="G35" s="60" t="str">
        <f>IF(SUMIF('LIMITES-SEGES'!$A:$A,'INSERÇÃO-DE-DADOS'!$F$13,'LIMITES-SEGES'!G:G)=0,"",SUMIF('LIMITES-SEGES'!$A:$A,'INSERÇÃO-DE-DADOS'!$F$13,'LIMITES-SEGES'!G:G))</f>
        <v/>
      </c>
      <c r="H35" s="60" t="str">
        <f>IF(SUMIF('LIMITES-SEGES'!$A:$A,'INSERÇÃO-DE-DADOS'!$F$13,'LIMITES-SEGES'!I:I)=0,"",SUMIF('LIMITES-SEGES'!$A:$A,'INSERÇÃO-DE-DADOS'!$F$13,'LIMITES-SEGES'!I:I))</f>
        <v/>
      </c>
      <c r="I35" s="60" t="str">
        <f>IF(SUMIF('LIMITES-SEGES'!$A:$A,'INSERÇÃO-DE-DADOS'!$F$13,'LIMITES-SEGES'!K:K)=0,"",SUMIF('LIMITES-SEGES'!$A:$A,'INSERÇÃO-DE-DADOS'!$F$13,'LIMITES-SEGES'!K:K))</f>
        <v/>
      </c>
      <c r="J35" s="60" t="str">
        <f>IF(SUMIF('LIMITES-SEGES'!$A:$A,'INSERÇÃO-DE-DADOS'!$F$13,'LIMITES-SEGES'!L:L)=0,"",SUMIF('LIMITES-SEGES'!$A:$A,'INSERÇÃO-DE-DADOS'!$F$13,'LIMITES-SEGES'!L:L))</f>
        <v/>
      </c>
    </row>
    <row r="36" spans="2:10" ht="69.75" customHeight="1" x14ac:dyDescent="0.25">
      <c r="B36" s="303" t="s">
        <v>196</v>
      </c>
      <c r="C36" s="304"/>
      <c r="D36" s="72" t="str">
        <f t="shared" ref="D36:J36" si="5">IF(D32="","Não se aplica.",IF(D35&lt;=D34,"SIM, está em conformidade.", "NÃO, é inferior."))</f>
        <v>Não se aplica.</v>
      </c>
      <c r="E36" s="72" t="str">
        <f t="shared" si="5"/>
        <v>Não se aplica.</v>
      </c>
      <c r="F36" s="72" t="str">
        <f t="shared" si="5"/>
        <v>Não se aplica.</v>
      </c>
      <c r="G36" s="72" t="str">
        <f t="shared" si="5"/>
        <v>Não se aplica.</v>
      </c>
      <c r="H36" s="72" t="str">
        <f t="shared" si="5"/>
        <v>Não se aplica.</v>
      </c>
      <c r="I36" s="72" t="str">
        <f t="shared" si="5"/>
        <v>Não se aplica.</v>
      </c>
      <c r="J36" s="72" t="str">
        <f t="shared" si="5"/>
        <v>Não se aplica.</v>
      </c>
    </row>
  </sheetData>
  <customSheetViews>
    <customSheetView guid="{E22B0E03-E710-4313-B9E5-0BFE52A7E677}" showPageBreaks="1" view="pageBreakPreview">
      <selection activeCell="C12" sqref="C12"/>
      <pageMargins left="0.51181102362204722" right="0.51181102362204722" top="0.47" bottom="0.78740157480314965" header="0.31496062992125984" footer="0.31496062992125984"/>
      <printOptions horizontalCentered="1"/>
      <pageSetup paperSize="9" orientation="portrait" r:id="rId1"/>
    </customSheetView>
  </customSheetViews>
  <mergeCells count="18">
    <mergeCell ref="B1:F1"/>
    <mergeCell ref="B2:D2"/>
    <mergeCell ref="B13:D13"/>
    <mergeCell ref="B24:C24"/>
    <mergeCell ref="B4:G4"/>
    <mergeCell ref="B14:G14"/>
    <mergeCell ref="B19:E19"/>
    <mergeCell ref="B20:E20"/>
    <mergeCell ref="B21:E21"/>
    <mergeCell ref="B31:C31"/>
    <mergeCell ref="B32:C32"/>
    <mergeCell ref="B33:C33"/>
    <mergeCell ref="B36:C36"/>
    <mergeCell ref="B25:C25"/>
    <mergeCell ref="B26:C26"/>
    <mergeCell ref="B27:C27"/>
    <mergeCell ref="B35:C35"/>
    <mergeCell ref="B34:C34"/>
  </mergeCells>
  <printOptions horizontalCentered="1"/>
  <pageMargins left="0.17" right="0.17" top="0.47" bottom="0.78740157480314965" header="0.31496062992125984" footer="0.31496062992125984"/>
  <pageSetup paperSize="9" orientation="portrait" r:id="rId2"/>
  <ignoredErrors>
    <ignoredError sqref="B1:F2" unlocked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35"/>
  <sheetViews>
    <sheetView topLeftCell="A4" workbookViewId="0">
      <selection activeCell="M22" sqref="M22"/>
    </sheetView>
  </sheetViews>
  <sheetFormatPr defaultRowHeight="16.5" x14ac:dyDescent="0.3"/>
  <cols>
    <col min="1" max="1" width="9.140625" style="76"/>
    <col min="2" max="2" width="13.5703125" style="76" customWidth="1"/>
    <col min="3" max="4" width="14.140625" style="76" customWidth="1"/>
    <col min="5" max="8" width="13.28515625" style="76" customWidth="1"/>
    <col min="9" max="16384" width="9.140625" style="76"/>
  </cols>
  <sheetData>
    <row r="1" spans="1:11" x14ac:dyDescent="0.3">
      <c r="H1" s="80" t="s">
        <v>187</v>
      </c>
    </row>
    <row r="2" spans="1:11" ht="15" customHeight="1" x14ac:dyDescent="0.3">
      <c r="A2" s="343" t="s">
        <v>156</v>
      </c>
      <c r="B2" s="352" t="s">
        <v>214</v>
      </c>
      <c r="C2" s="346" t="str">
        <f>POSTO_12X36_DIU</f>
        <v>Supervisor 44 horas semanais</v>
      </c>
      <c r="D2" s="347"/>
      <c r="E2" s="350" t="str">
        <f>POSTO_12X36_NOT</f>
        <v>Supervisor 12x36 horas -diurno</v>
      </c>
      <c r="F2" s="347"/>
      <c r="G2" s="350" t="str">
        <f>POSTO_44H</f>
        <v>Supervisor 12x36 horas - noturno</v>
      </c>
      <c r="H2" s="347"/>
    </row>
    <row r="3" spans="1:11" x14ac:dyDescent="0.3">
      <c r="A3" s="344"/>
      <c r="B3" s="353"/>
      <c r="C3" s="348"/>
      <c r="D3" s="349"/>
      <c r="E3" s="351"/>
      <c r="F3" s="349"/>
      <c r="G3" s="351"/>
      <c r="H3" s="349"/>
    </row>
    <row r="4" spans="1:11" ht="30.75" customHeight="1" x14ac:dyDescent="0.3">
      <c r="A4" s="345"/>
      <c r="B4" s="354"/>
      <c r="C4" s="79" t="s">
        <v>191</v>
      </c>
      <c r="D4" s="79" t="s">
        <v>192</v>
      </c>
      <c r="E4" s="79" t="s">
        <v>191</v>
      </c>
      <c r="F4" s="79" t="s">
        <v>192</v>
      </c>
      <c r="G4" s="79" t="s">
        <v>191</v>
      </c>
      <c r="H4" s="79" t="s">
        <v>192</v>
      </c>
    </row>
    <row r="5" spans="1:11" x14ac:dyDescent="0.3">
      <c r="A5" s="4" t="s">
        <v>157</v>
      </c>
      <c r="B5" s="87">
        <v>43805</v>
      </c>
      <c r="C5" s="11">
        <v>8597.41</v>
      </c>
      <c r="D5" s="11">
        <v>9342.48</v>
      </c>
      <c r="E5" s="11">
        <v>10191.24</v>
      </c>
      <c r="F5" s="11">
        <v>11075.61</v>
      </c>
      <c r="G5" s="11">
        <v>4829.51</v>
      </c>
      <c r="H5" s="11">
        <v>5301.05</v>
      </c>
    </row>
    <row r="6" spans="1:11" x14ac:dyDescent="0.3">
      <c r="A6" s="4" t="s">
        <v>158</v>
      </c>
      <c r="B6" s="87">
        <v>43690</v>
      </c>
      <c r="C6" s="14">
        <v>8111.4</v>
      </c>
      <c r="D6" s="14">
        <v>8815.7800000000007</v>
      </c>
      <c r="E6" s="14">
        <v>9145.9500000000007</v>
      </c>
      <c r="F6" s="14">
        <v>9940.84</v>
      </c>
      <c r="G6" s="14">
        <v>4456.3100000000004</v>
      </c>
      <c r="H6" s="14">
        <v>4892.59</v>
      </c>
    </row>
    <row r="7" spans="1:11" x14ac:dyDescent="0.3">
      <c r="A7" s="4" t="s">
        <v>159</v>
      </c>
      <c r="B7" s="87">
        <v>43805</v>
      </c>
      <c r="C7" s="11">
        <v>9315.82</v>
      </c>
      <c r="D7" s="11">
        <v>10127.92</v>
      </c>
      <c r="E7" s="11">
        <v>11217.83</v>
      </c>
      <c r="F7" s="11">
        <v>12197.44</v>
      </c>
      <c r="G7" s="11">
        <v>5141.26</v>
      </c>
      <c r="H7" s="11">
        <v>5646.04</v>
      </c>
    </row>
    <row r="8" spans="1:11" x14ac:dyDescent="0.3">
      <c r="A8" s="4" t="s">
        <v>160</v>
      </c>
      <c r="B8" s="87">
        <v>43207</v>
      </c>
      <c r="C8" s="14">
        <v>10997.4</v>
      </c>
      <c r="D8" s="14">
        <v>11939.6</v>
      </c>
      <c r="E8" s="14">
        <v>13109.73</v>
      </c>
      <c r="F8" s="14">
        <v>14233.8</v>
      </c>
      <c r="G8" s="14">
        <v>6073.35</v>
      </c>
      <c r="H8" s="14">
        <v>6660.79</v>
      </c>
    </row>
    <row r="9" spans="1:11" x14ac:dyDescent="0.3">
      <c r="A9" s="4" t="s">
        <v>161</v>
      </c>
      <c r="B9" s="87">
        <v>43461</v>
      </c>
      <c r="C9" s="11">
        <v>7937.26</v>
      </c>
      <c r="D9" s="11">
        <v>8619.73</v>
      </c>
      <c r="E9" s="11">
        <v>10244.790000000001</v>
      </c>
      <c r="F9" s="11">
        <v>11126.33</v>
      </c>
      <c r="G9" s="11">
        <v>4311.59</v>
      </c>
      <c r="H9" s="11">
        <v>4730.09</v>
      </c>
    </row>
    <row r="10" spans="1:11" x14ac:dyDescent="0.3">
      <c r="A10" s="4" t="s">
        <v>162</v>
      </c>
      <c r="B10" s="87">
        <v>43643</v>
      </c>
      <c r="C10" s="14">
        <v>9375.2099999999991</v>
      </c>
      <c r="D10" s="14">
        <v>10191.74</v>
      </c>
      <c r="E10" s="14">
        <v>11317.42</v>
      </c>
      <c r="F10" s="14">
        <v>12304.64</v>
      </c>
      <c r="G10" s="14">
        <v>5213.41</v>
      </c>
      <c r="H10" s="14">
        <v>5724.81</v>
      </c>
    </row>
    <row r="11" spans="1:11" x14ac:dyDescent="0.3">
      <c r="A11" s="4" t="s">
        <v>163</v>
      </c>
      <c r="B11" s="87">
        <v>42595</v>
      </c>
      <c r="C11" s="11">
        <v>15100.54</v>
      </c>
      <c r="D11" s="11">
        <v>16201.63</v>
      </c>
      <c r="E11" s="11">
        <v>16451.59</v>
      </c>
      <c r="F11" s="11">
        <v>18025.95</v>
      </c>
      <c r="G11" s="11">
        <v>7914.2</v>
      </c>
      <c r="H11" s="11">
        <v>8522.8700000000008</v>
      </c>
    </row>
    <row r="12" spans="1:11" x14ac:dyDescent="0.3">
      <c r="A12" s="4" t="s">
        <v>164</v>
      </c>
      <c r="B12" s="87">
        <v>43207</v>
      </c>
      <c r="C12" s="14">
        <v>10354.98</v>
      </c>
      <c r="D12" s="14">
        <v>11246.17</v>
      </c>
      <c r="E12" s="14">
        <v>12367.31</v>
      </c>
      <c r="F12" s="14">
        <v>13433.22</v>
      </c>
      <c r="G12" s="14">
        <v>5677.47</v>
      </c>
      <c r="H12" s="14">
        <v>6228.76</v>
      </c>
    </row>
    <row r="13" spans="1:11" x14ac:dyDescent="0.3">
      <c r="A13" s="4" t="s">
        <v>165</v>
      </c>
      <c r="B13" s="87">
        <v>43643</v>
      </c>
      <c r="C13" s="11">
        <v>9839.65</v>
      </c>
      <c r="D13" s="11">
        <v>10701.94</v>
      </c>
      <c r="E13" s="11">
        <v>10856.17</v>
      </c>
      <c r="F13" s="11">
        <v>11808.22</v>
      </c>
      <c r="G13" s="11">
        <v>5443.98</v>
      </c>
      <c r="H13" s="11">
        <v>5980.98</v>
      </c>
    </row>
    <row r="14" spans="1:11" x14ac:dyDescent="0.3">
      <c r="A14" s="4" t="s">
        <v>166</v>
      </c>
      <c r="B14" s="87">
        <v>43805</v>
      </c>
      <c r="C14" s="14">
        <v>8291.56</v>
      </c>
      <c r="D14" s="14">
        <v>9008.01</v>
      </c>
      <c r="E14" s="14">
        <v>9889.77</v>
      </c>
      <c r="F14" s="14">
        <v>10745.13</v>
      </c>
      <c r="G14" s="14">
        <v>4586.6499999999996</v>
      </c>
      <c r="H14" s="14">
        <v>5033.6400000000003</v>
      </c>
    </row>
    <row r="15" spans="1:11" x14ac:dyDescent="0.3">
      <c r="A15" s="4" t="s">
        <v>167</v>
      </c>
      <c r="B15" s="87">
        <v>43690</v>
      </c>
      <c r="C15" s="11">
        <v>12397.9</v>
      </c>
      <c r="D15" s="11">
        <v>13479.96</v>
      </c>
      <c r="E15" s="11">
        <v>14886.74</v>
      </c>
      <c r="F15" s="11">
        <v>16188.01</v>
      </c>
      <c r="G15" s="11">
        <v>6780.84</v>
      </c>
      <c r="H15" s="11">
        <v>7447.73</v>
      </c>
      <c r="K15" s="138"/>
    </row>
    <row r="16" spans="1:11" x14ac:dyDescent="0.3">
      <c r="A16" s="4" t="s">
        <v>168</v>
      </c>
      <c r="B16" s="87">
        <v>43349</v>
      </c>
      <c r="C16" s="14">
        <v>9332.23</v>
      </c>
      <c r="D16" s="14">
        <v>10140.01</v>
      </c>
      <c r="E16" s="14">
        <v>11068.79</v>
      </c>
      <c r="F16" s="14">
        <v>12028.09</v>
      </c>
      <c r="G16" s="14">
        <v>5192.12</v>
      </c>
      <c r="H16" s="14">
        <v>5698.6</v>
      </c>
      <c r="K16" s="137"/>
    </row>
    <row r="17" spans="1:11" x14ac:dyDescent="0.3">
      <c r="A17" s="4" t="s">
        <v>169</v>
      </c>
      <c r="B17" s="87">
        <v>43643</v>
      </c>
      <c r="C17" s="11">
        <v>8915.7999999999993</v>
      </c>
      <c r="D17" s="11">
        <v>9697.58</v>
      </c>
      <c r="E17" s="11">
        <v>10517.71</v>
      </c>
      <c r="F17" s="11">
        <v>11441.67</v>
      </c>
      <c r="G17" s="11">
        <v>4954.66</v>
      </c>
      <c r="H17" s="11">
        <v>5443.52</v>
      </c>
      <c r="K17" s="138"/>
    </row>
    <row r="18" spans="1:11" x14ac:dyDescent="0.3">
      <c r="A18" s="4" t="s">
        <v>170</v>
      </c>
      <c r="B18" s="87">
        <v>43761</v>
      </c>
      <c r="C18" s="14">
        <v>9587.27</v>
      </c>
      <c r="D18" s="14">
        <v>10426.1</v>
      </c>
      <c r="E18" s="14">
        <v>11450.32</v>
      </c>
      <c r="F18" s="14">
        <v>12453.27</v>
      </c>
      <c r="G18" s="14">
        <v>5218.6099999999997</v>
      </c>
      <c r="H18" s="14">
        <v>5732.86</v>
      </c>
      <c r="K18" s="137"/>
    </row>
    <row r="19" spans="1:11" x14ac:dyDescent="0.3">
      <c r="A19" s="4" t="s">
        <v>171</v>
      </c>
      <c r="B19" s="87">
        <v>43690</v>
      </c>
      <c r="C19" s="11">
        <v>7417.46</v>
      </c>
      <c r="D19" s="11">
        <v>8070.34</v>
      </c>
      <c r="E19" s="11">
        <v>8845.77</v>
      </c>
      <c r="F19" s="11">
        <v>9625.39</v>
      </c>
      <c r="G19" s="11">
        <v>4105.37</v>
      </c>
      <c r="H19" s="11">
        <v>4511.84</v>
      </c>
      <c r="K19" s="138"/>
    </row>
    <row r="20" spans="1:11" x14ac:dyDescent="0.3">
      <c r="A20" s="4" t="s">
        <v>172</v>
      </c>
      <c r="B20" s="87">
        <v>43805</v>
      </c>
      <c r="C20" s="14">
        <v>8783.67</v>
      </c>
      <c r="D20" s="14">
        <v>9552</v>
      </c>
      <c r="E20" s="14">
        <v>10376.83</v>
      </c>
      <c r="F20" s="14">
        <v>11286.12</v>
      </c>
      <c r="G20" s="14">
        <v>4943.93</v>
      </c>
      <c r="H20" s="14">
        <v>5430.41</v>
      </c>
      <c r="K20" s="137"/>
    </row>
    <row r="21" spans="1:11" x14ac:dyDescent="0.3">
      <c r="A21" s="4" t="s">
        <v>173</v>
      </c>
      <c r="B21" s="87">
        <v>42989</v>
      </c>
      <c r="C21" s="11">
        <v>8677.7800000000007</v>
      </c>
      <c r="D21" s="11">
        <v>9501.3700000000008</v>
      </c>
      <c r="E21" s="11">
        <v>12066.94</v>
      </c>
      <c r="F21" s="11">
        <v>14172.44</v>
      </c>
      <c r="G21" s="11">
        <v>4448.13</v>
      </c>
      <c r="H21" s="11">
        <v>4889.71</v>
      </c>
    </row>
    <row r="22" spans="1:11" x14ac:dyDescent="0.3">
      <c r="A22" s="4" t="s">
        <v>174</v>
      </c>
      <c r="B22" s="87">
        <v>43643</v>
      </c>
      <c r="C22" s="14">
        <v>12261.66</v>
      </c>
      <c r="D22" s="14">
        <v>13340.87</v>
      </c>
      <c r="E22" s="14">
        <v>14577.88</v>
      </c>
      <c r="F22" s="14">
        <v>15862.82</v>
      </c>
      <c r="G22" s="14">
        <v>6768.04</v>
      </c>
      <c r="H22" s="14">
        <v>7438.22</v>
      </c>
    </row>
    <row r="23" spans="1:11" x14ac:dyDescent="0.3">
      <c r="A23" s="4" t="s">
        <v>175</v>
      </c>
      <c r="B23" s="87">
        <v>43287</v>
      </c>
      <c r="C23" s="11">
        <v>9779.4599999999991</v>
      </c>
      <c r="D23" s="11">
        <v>10630.1</v>
      </c>
      <c r="E23" s="11">
        <v>11676</v>
      </c>
      <c r="F23" s="11">
        <v>12692.64</v>
      </c>
      <c r="G23" s="11">
        <v>5371.45</v>
      </c>
      <c r="H23" s="11">
        <v>5897.91</v>
      </c>
    </row>
    <row r="24" spans="1:11" x14ac:dyDescent="0.3">
      <c r="A24" s="4" t="s">
        <v>176</v>
      </c>
      <c r="B24" s="87">
        <v>43643</v>
      </c>
      <c r="C24" s="14">
        <v>9400.85</v>
      </c>
      <c r="D24" s="14">
        <v>10228.959999999999</v>
      </c>
      <c r="E24" s="14">
        <v>11261.97</v>
      </c>
      <c r="F24" s="14">
        <v>12255.04</v>
      </c>
      <c r="G24" s="14">
        <v>5144.09</v>
      </c>
      <c r="H24" s="14">
        <v>5654.09</v>
      </c>
    </row>
    <row r="25" spans="1:11" x14ac:dyDescent="0.3">
      <c r="A25" s="4" t="s">
        <v>177</v>
      </c>
      <c r="B25" s="87">
        <v>43287</v>
      </c>
      <c r="C25" s="11">
        <v>9176.75</v>
      </c>
      <c r="D25" s="11">
        <v>9972.15</v>
      </c>
      <c r="E25" s="11">
        <v>10170.83</v>
      </c>
      <c r="F25" s="11">
        <v>11053.19</v>
      </c>
      <c r="G25" s="11">
        <v>5148.58</v>
      </c>
      <c r="H25" s="11">
        <v>5651.21</v>
      </c>
    </row>
    <row r="26" spans="1:11" x14ac:dyDescent="0.3">
      <c r="A26" s="4" t="s">
        <v>178</v>
      </c>
      <c r="B26" s="87">
        <v>43280</v>
      </c>
      <c r="C26" s="14">
        <v>7408.92</v>
      </c>
      <c r="D26" s="14">
        <v>8049.8</v>
      </c>
      <c r="E26" s="14">
        <v>8792.52</v>
      </c>
      <c r="F26" s="14">
        <v>9554.01</v>
      </c>
      <c r="G26" s="14">
        <v>4100.8599999999997</v>
      </c>
      <c r="H26" s="14">
        <v>4500.66</v>
      </c>
    </row>
    <row r="27" spans="1:11" x14ac:dyDescent="0.3">
      <c r="A27" s="4" t="s">
        <v>179</v>
      </c>
      <c r="B27" s="87">
        <v>43805</v>
      </c>
      <c r="C27" s="11">
        <v>10253.43</v>
      </c>
      <c r="D27" s="11">
        <v>11160.84</v>
      </c>
      <c r="E27" s="11">
        <v>12264.88</v>
      </c>
      <c r="F27" s="11">
        <v>13351.59</v>
      </c>
      <c r="G27" s="11">
        <v>5631.93</v>
      </c>
      <c r="H27" s="11">
        <v>6192.41</v>
      </c>
    </row>
    <row r="28" spans="1:11" x14ac:dyDescent="0.3">
      <c r="A28" s="4" t="s">
        <v>180</v>
      </c>
      <c r="B28" s="87">
        <v>43805</v>
      </c>
      <c r="C28" s="14">
        <v>9937.31</v>
      </c>
      <c r="D28" s="14">
        <v>10815.6</v>
      </c>
      <c r="E28" s="14">
        <v>11855.37</v>
      </c>
      <c r="F28" s="14">
        <v>12904.6</v>
      </c>
      <c r="G28" s="14">
        <v>5485.7</v>
      </c>
      <c r="H28" s="14">
        <v>6030.85</v>
      </c>
    </row>
    <row r="29" spans="1:11" x14ac:dyDescent="0.3">
      <c r="A29" s="4" t="s">
        <v>181</v>
      </c>
      <c r="B29" s="87">
        <v>43339</v>
      </c>
      <c r="C29" s="11">
        <v>7795.56</v>
      </c>
      <c r="D29" s="11">
        <v>8470.73</v>
      </c>
      <c r="E29" s="11">
        <v>9355.6200000000008</v>
      </c>
      <c r="F29" s="11">
        <v>10166.450000000001</v>
      </c>
      <c r="G29" s="11">
        <v>4248.05</v>
      </c>
      <c r="H29" s="11">
        <v>4663.01</v>
      </c>
    </row>
    <row r="30" spans="1:11" x14ac:dyDescent="0.3">
      <c r="A30" s="4" t="s">
        <v>182</v>
      </c>
      <c r="B30" s="87">
        <v>43593</v>
      </c>
      <c r="C30" s="14">
        <v>10689.88</v>
      </c>
      <c r="D30" s="14">
        <v>11635.82</v>
      </c>
      <c r="E30" s="14">
        <v>12766.9</v>
      </c>
      <c r="F30" s="14">
        <v>13898.1</v>
      </c>
      <c r="G30" s="14">
        <v>5893.81</v>
      </c>
      <c r="H30" s="14">
        <v>6480.16</v>
      </c>
    </row>
    <row r="31" spans="1:11" x14ac:dyDescent="0.3">
      <c r="A31" s="4" t="s">
        <v>183</v>
      </c>
      <c r="B31" s="87">
        <v>43565</v>
      </c>
      <c r="C31" s="11">
        <v>10541.15</v>
      </c>
      <c r="D31" s="11">
        <v>11454.8</v>
      </c>
      <c r="E31" s="11">
        <v>12488.13</v>
      </c>
      <c r="F31" s="11">
        <v>13571.97</v>
      </c>
      <c r="G31" s="11">
        <v>5749.12</v>
      </c>
      <c r="H31" s="11">
        <v>6311.12</v>
      </c>
    </row>
    <row r="32" spans="1:11" x14ac:dyDescent="0.3">
      <c r="A32" s="355" t="s">
        <v>197</v>
      </c>
      <c r="B32" s="356"/>
      <c r="C32" s="88">
        <f>AVERAGE(C5:C31)</f>
        <v>9639.94</v>
      </c>
      <c r="D32" s="88">
        <f t="shared" ref="D32:H32" si="0">AVERAGE(D5:D31)</f>
        <v>10474.89</v>
      </c>
      <c r="E32" s="88">
        <f t="shared" si="0"/>
        <v>11452.41</v>
      </c>
      <c r="F32" s="88">
        <f t="shared" si="0"/>
        <v>12496.17</v>
      </c>
      <c r="G32" s="88">
        <f t="shared" si="0"/>
        <v>5290.11</v>
      </c>
      <c r="H32" s="88">
        <f t="shared" si="0"/>
        <v>5803.55</v>
      </c>
    </row>
    <row r="33" spans="1:8" x14ac:dyDescent="0.3">
      <c r="A33" s="341" t="s">
        <v>198</v>
      </c>
      <c r="B33" s="342"/>
      <c r="C33" s="88">
        <f>SMALL(C5:C31,27)</f>
        <v>15100.54</v>
      </c>
      <c r="D33" s="88">
        <f t="shared" ref="D33:H33" si="1">SMALL(D5:D31,27)</f>
        <v>16201.63</v>
      </c>
      <c r="E33" s="88">
        <f t="shared" si="1"/>
        <v>16451.59</v>
      </c>
      <c r="F33" s="88">
        <f t="shared" si="1"/>
        <v>18025.95</v>
      </c>
      <c r="G33" s="88">
        <f t="shared" si="1"/>
        <v>7914.2</v>
      </c>
      <c r="H33" s="88">
        <f t="shared" si="1"/>
        <v>8522.8700000000008</v>
      </c>
    </row>
    <row r="34" spans="1:8" x14ac:dyDescent="0.3">
      <c r="A34" s="341" t="s">
        <v>199</v>
      </c>
      <c r="B34" s="342"/>
      <c r="C34" s="88">
        <f>LARGE(C6:C32,27)</f>
        <v>7408.92</v>
      </c>
      <c r="D34" s="88">
        <f t="shared" ref="D34:H34" si="2">LARGE(D6:D32,27)</f>
        <v>8049.8</v>
      </c>
      <c r="E34" s="88">
        <f t="shared" si="2"/>
        <v>8792.52</v>
      </c>
      <c r="F34" s="88">
        <f t="shared" si="2"/>
        <v>9554.01</v>
      </c>
      <c r="G34" s="88">
        <f t="shared" si="2"/>
        <v>4100.8599999999997</v>
      </c>
      <c r="H34" s="88">
        <f t="shared" si="2"/>
        <v>4500.66</v>
      </c>
    </row>
    <row r="35" spans="1:8" x14ac:dyDescent="0.3">
      <c r="H35" s="80" t="s">
        <v>215</v>
      </c>
    </row>
  </sheetData>
  <sheetProtection sheet="1" objects="1" scenarios="1"/>
  <dataConsolidate/>
  <mergeCells count="8">
    <mergeCell ref="A34:B34"/>
    <mergeCell ref="A2:A4"/>
    <mergeCell ref="C2:D3"/>
    <mergeCell ref="E2:F3"/>
    <mergeCell ref="G2:H3"/>
    <mergeCell ref="B2:B4"/>
    <mergeCell ref="A32:B32"/>
    <mergeCell ref="A33:B33"/>
  </mergeCell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B2AD07-96CA-411A-B01D-08FBF1043F21}">
  <sheetPr>
    <tabColor rgb="FFFFFF00"/>
  </sheetPr>
  <dimension ref="B1:M100"/>
  <sheetViews>
    <sheetView topLeftCell="A4" workbookViewId="0">
      <selection activeCell="E5" sqref="E5:E14"/>
    </sheetView>
  </sheetViews>
  <sheetFormatPr defaultRowHeight="12.75" x14ac:dyDescent="0.2"/>
  <cols>
    <col min="2" max="2" width="8.7109375"/>
    <col min="3" max="3" width="46.28515625" customWidth="1"/>
    <col min="4" max="4" width="18" customWidth="1"/>
    <col min="5" max="5" width="13.7109375" customWidth="1"/>
    <col min="6" max="6" width="8.7109375"/>
    <col min="7" max="7" width="17.5703125" customWidth="1"/>
    <col min="8" max="8" width="20.28515625" customWidth="1"/>
    <col min="9" max="9" width="19" customWidth="1"/>
    <col min="10" max="10" width="17.7109375" customWidth="1"/>
  </cols>
  <sheetData>
    <row r="1" spans="2:13" ht="25.5" x14ac:dyDescent="0.5">
      <c r="B1" s="266" t="s">
        <v>263</v>
      </c>
      <c r="C1" s="266"/>
      <c r="D1" s="266"/>
      <c r="E1" s="266"/>
      <c r="F1" s="266"/>
      <c r="G1" s="266"/>
      <c r="H1" s="266"/>
      <c r="I1" s="266"/>
      <c r="J1" s="266"/>
    </row>
    <row r="2" spans="2:13" ht="16.5" x14ac:dyDescent="0.2">
      <c r="B2" s="267" t="s">
        <v>264</v>
      </c>
      <c r="C2" s="267"/>
      <c r="D2" s="267"/>
      <c r="E2" s="267"/>
      <c r="F2" s="267"/>
      <c r="G2" s="267"/>
      <c r="H2" s="267"/>
      <c r="I2" s="267"/>
      <c r="J2" s="267"/>
    </row>
    <row r="3" spans="2:13" ht="16.5" x14ac:dyDescent="0.3">
      <c r="B3" s="268"/>
      <c r="C3" s="268"/>
      <c r="D3" s="268"/>
      <c r="E3" s="268"/>
      <c r="F3" s="268"/>
      <c r="G3" s="268"/>
      <c r="H3" s="268"/>
    </row>
    <row r="4" spans="2:13" ht="49.5" x14ac:dyDescent="0.2">
      <c r="B4" s="149" t="s">
        <v>31</v>
      </c>
      <c r="C4" s="149" t="s">
        <v>265</v>
      </c>
      <c r="D4" s="149" t="s">
        <v>266</v>
      </c>
      <c r="E4" s="149" t="s">
        <v>267</v>
      </c>
      <c r="F4" s="149" t="s">
        <v>268</v>
      </c>
      <c r="G4" s="149" t="s">
        <v>269</v>
      </c>
      <c r="H4" s="149" t="s">
        <v>270</v>
      </c>
      <c r="I4" s="149" t="s">
        <v>271</v>
      </c>
      <c r="J4" s="149" t="s">
        <v>272</v>
      </c>
    </row>
    <row r="5" spans="2:13" ht="16.5" x14ac:dyDescent="0.2">
      <c r="B5" s="150">
        <v>1</v>
      </c>
      <c r="C5" s="151" t="s">
        <v>273</v>
      </c>
      <c r="D5" s="152" t="s">
        <v>274</v>
      </c>
      <c r="E5" s="153"/>
      <c r="F5" s="150">
        <v>20</v>
      </c>
      <c r="G5" s="154">
        <f t="shared" ref="G5:G14" si="0">F5*E5</f>
        <v>0</v>
      </c>
      <c r="H5" s="155">
        <v>240</v>
      </c>
      <c r="I5" s="155">
        <v>15</v>
      </c>
      <c r="J5" s="156">
        <f t="shared" ref="J5:J14" si="1">(G5*(1-I5%))/H5</f>
        <v>0</v>
      </c>
      <c r="K5" s="157"/>
      <c r="M5" s="157"/>
    </row>
    <row r="6" spans="2:13" ht="16.5" x14ac:dyDescent="0.2">
      <c r="B6" s="158">
        <v>2</v>
      </c>
      <c r="C6" s="159" t="s">
        <v>275</v>
      </c>
      <c r="D6" s="160" t="s">
        <v>274</v>
      </c>
      <c r="E6" s="153"/>
      <c r="F6" s="161">
        <v>200</v>
      </c>
      <c r="G6" s="162">
        <f t="shared" si="0"/>
        <v>0</v>
      </c>
      <c r="H6" s="163">
        <v>60</v>
      </c>
      <c r="I6" s="163">
        <v>15</v>
      </c>
      <c r="J6" s="164">
        <f t="shared" si="1"/>
        <v>0</v>
      </c>
      <c r="K6" s="157"/>
    </row>
    <row r="7" spans="2:13" ht="33" x14ac:dyDescent="0.2">
      <c r="B7" s="150">
        <v>3</v>
      </c>
      <c r="C7" s="151" t="s">
        <v>276</v>
      </c>
      <c r="D7" s="152" t="s">
        <v>274</v>
      </c>
      <c r="E7" s="153"/>
      <c r="F7" s="150">
        <v>80</v>
      </c>
      <c r="G7" s="154">
        <f t="shared" si="0"/>
        <v>0</v>
      </c>
      <c r="H7" s="165">
        <v>60</v>
      </c>
      <c r="I7" s="165">
        <v>10</v>
      </c>
      <c r="J7" s="156">
        <f t="shared" si="1"/>
        <v>0</v>
      </c>
      <c r="K7" s="157"/>
    </row>
    <row r="8" spans="2:13" ht="16.5" x14ac:dyDescent="0.2">
      <c r="B8" s="166">
        <v>4</v>
      </c>
      <c r="C8" s="159" t="s">
        <v>277</v>
      </c>
      <c r="D8" s="160" t="s">
        <v>274</v>
      </c>
      <c r="E8" s="153"/>
      <c r="F8" s="161">
        <v>20</v>
      </c>
      <c r="G8" s="162">
        <f t="shared" si="0"/>
        <v>0</v>
      </c>
      <c r="H8" s="163">
        <v>60</v>
      </c>
      <c r="I8" s="163">
        <v>10</v>
      </c>
      <c r="J8" s="164">
        <f t="shared" si="1"/>
        <v>0</v>
      </c>
      <c r="K8" s="157"/>
    </row>
    <row r="9" spans="2:13" ht="16.5" x14ac:dyDescent="0.2">
      <c r="B9" s="150">
        <v>5</v>
      </c>
      <c r="C9" s="151" t="s">
        <v>278</v>
      </c>
      <c r="D9" s="152" t="s">
        <v>274</v>
      </c>
      <c r="E9" s="153"/>
      <c r="F9" s="150">
        <v>80</v>
      </c>
      <c r="G9" s="154">
        <f t="shared" si="0"/>
        <v>0</v>
      </c>
      <c r="H9" s="165">
        <v>24</v>
      </c>
      <c r="I9" s="165">
        <v>10</v>
      </c>
      <c r="J9" s="156">
        <f t="shared" si="1"/>
        <v>0</v>
      </c>
      <c r="K9" s="157"/>
    </row>
    <row r="10" spans="2:13" ht="33" x14ac:dyDescent="0.2">
      <c r="B10" s="166">
        <v>6</v>
      </c>
      <c r="C10" s="159" t="s">
        <v>279</v>
      </c>
      <c r="D10" s="160" t="s">
        <v>274</v>
      </c>
      <c r="E10" s="153"/>
      <c r="F10" s="161">
        <v>20</v>
      </c>
      <c r="G10" s="162">
        <f t="shared" si="0"/>
        <v>0</v>
      </c>
      <c r="H10" s="163">
        <v>60</v>
      </c>
      <c r="I10" s="163">
        <v>10</v>
      </c>
      <c r="J10" s="164">
        <f t="shared" si="1"/>
        <v>0</v>
      </c>
      <c r="K10" s="157"/>
    </row>
    <row r="11" spans="2:13" ht="16.5" x14ac:dyDescent="0.2">
      <c r="B11" s="150">
        <v>7</v>
      </c>
      <c r="C11" s="151" t="s">
        <v>280</v>
      </c>
      <c r="D11" s="152" t="s">
        <v>274</v>
      </c>
      <c r="E11" s="153"/>
      <c r="F11" s="150">
        <v>80</v>
      </c>
      <c r="G11" s="154">
        <f t="shared" si="0"/>
        <v>0</v>
      </c>
      <c r="H11" s="165">
        <v>60</v>
      </c>
      <c r="I11" s="165">
        <v>10</v>
      </c>
      <c r="J11" s="156">
        <f t="shared" si="1"/>
        <v>0</v>
      </c>
      <c r="K11" s="157"/>
    </row>
    <row r="12" spans="2:13" ht="16.5" x14ac:dyDescent="0.2">
      <c r="B12" s="166">
        <v>8</v>
      </c>
      <c r="C12" s="159" t="s">
        <v>281</v>
      </c>
      <c r="D12" s="160" t="s">
        <v>274</v>
      </c>
      <c r="E12" s="153"/>
      <c r="F12" s="161">
        <v>17</v>
      </c>
      <c r="G12" s="162">
        <f t="shared" si="0"/>
        <v>0</v>
      </c>
      <c r="H12" s="163">
        <v>12</v>
      </c>
      <c r="I12" s="163">
        <v>10</v>
      </c>
      <c r="J12" s="164">
        <f t="shared" si="1"/>
        <v>0</v>
      </c>
      <c r="K12" s="157"/>
    </row>
    <row r="13" spans="2:13" ht="16.5" x14ac:dyDescent="0.2">
      <c r="B13" s="150">
        <v>9</v>
      </c>
      <c r="C13" s="151" t="s">
        <v>282</v>
      </c>
      <c r="D13" s="152" t="s">
        <v>274</v>
      </c>
      <c r="E13" s="153"/>
      <c r="F13" s="150">
        <v>80</v>
      </c>
      <c r="G13" s="154">
        <f t="shared" si="0"/>
        <v>0</v>
      </c>
      <c r="H13" s="165">
        <v>36</v>
      </c>
      <c r="I13" s="165">
        <v>10</v>
      </c>
      <c r="J13" s="156">
        <f t="shared" si="1"/>
        <v>0</v>
      </c>
      <c r="K13" s="157"/>
    </row>
    <row r="14" spans="2:13" ht="16.5" x14ac:dyDescent="0.2">
      <c r="B14" s="166">
        <v>10</v>
      </c>
      <c r="C14" s="159" t="s">
        <v>283</v>
      </c>
      <c r="D14" s="160" t="s">
        <v>274</v>
      </c>
      <c r="E14" s="153"/>
      <c r="F14" s="161">
        <v>80</v>
      </c>
      <c r="G14" s="162">
        <f t="shared" si="0"/>
        <v>0</v>
      </c>
      <c r="H14" s="163">
        <v>12</v>
      </c>
      <c r="I14" s="163">
        <v>10</v>
      </c>
      <c r="J14" s="164">
        <f t="shared" si="1"/>
        <v>0</v>
      </c>
      <c r="K14" s="157"/>
    </row>
    <row r="15" spans="2:13" ht="16.5" x14ac:dyDescent="0.3">
      <c r="B15" s="167"/>
      <c r="C15" s="269" t="s">
        <v>284</v>
      </c>
      <c r="D15" s="269"/>
      <c r="E15" s="269"/>
      <c r="F15" s="269"/>
      <c r="G15" s="269"/>
      <c r="H15" s="269"/>
      <c r="I15" s="269"/>
      <c r="J15" s="168">
        <f>SUM(J5:J14)</f>
        <v>0</v>
      </c>
    </row>
    <row r="16" spans="2:13" ht="16.5" x14ac:dyDescent="0.3">
      <c r="B16" s="265" t="s">
        <v>285</v>
      </c>
      <c r="C16" s="265"/>
      <c r="D16" s="265"/>
      <c r="E16" s="265"/>
      <c r="F16" s="265"/>
      <c r="G16" s="265"/>
      <c r="H16" s="265"/>
      <c r="I16" s="265"/>
      <c r="J16" s="169">
        <f>QTDE_DE_POSTOS_12X36_VIG_DIU*2</f>
        <v>80</v>
      </c>
    </row>
    <row r="17" spans="2:10" ht="16.5" x14ac:dyDescent="0.3">
      <c r="B17" s="265" t="s">
        <v>286</v>
      </c>
      <c r="C17" s="265"/>
      <c r="D17" s="265"/>
      <c r="E17" s="265"/>
      <c r="F17" s="265"/>
      <c r="G17" s="265"/>
      <c r="H17" s="265"/>
      <c r="I17" s="265"/>
      <c r="J17" s="169">
        <f>ROUND(J15/J16,2)</f>
        <v>0</v>
      </c>
    </row>
    <row r="18" spans="2:10" ht="16.5" x14ac:dyDescent="0.2">
      <c r="B18" s="267" t="s">
        <v>287</v>
      </c>
      <c r="C18" s="267"/>
      <c r="D18" s="267"/>
      <c r="E18" s="267"/>
      <c r="F18" s="267"/>
      <c r="G18" s="267"/>
      <c r="H18" s="267"/>
      <c r="I18" s="267"/>
      <c r="J18" s="267"/>
    </row>
    <row r="19" spans="2:10" ht="16.5" x14ac:dyDescent="0.3">
      <c r="B19" s="268"/>
      <c r="C19" s="268"/>
      <c r="D19" s="268"/>
      <c r="E19" s="268"/>
      <c r="F19" s="268"/>
      <c r="G19" s="268"/>
      <c r="H19" s="268"/>
    </row>
    <row r="20" spans="2:10" ht="49.5" x14ac:dyDescent="0.2">
      <c r="B20" s="149" t="s">
        <v>31</v>
      </c>
      <c r="C20" s="149" t="s">
        <v>265</v>
      </c>
      <c r="D20" s="149" t="s">
        <v>266</v>
      </c>
      <c r="E20" s="149" t="s">
        <v>267</v>
      </c>
      <c r="F20" s="149" t="s">
        <v>268</v>
      </c>
      <c r="G20" s="149" t="s">
        <v>269</v>
      </c>
      <c r="H20" s="149" t="s">
        <v>270</v>
      </c>
      <c r="I20" s="149" t="s">
        <v>271</v>
      </c>
      <c r="J20" s="149" t="s">
        <v>272</v>
      </c>
    </row>
    <row r="21" spans="2:10" ht="16.5" x14ac:dyDescent="0.2">
      <c r="B21" s="150">
        <v>1</v>
      </c>
      <c r="C21" s="151" t="s">
        <v>273</v>
      </c>
      <c r="D21" s="152" t="s">
        <v>274</v>
      </c>
      <c r="E21" s="153"/>
      <c r="F21" s="150">
        <v>20</v>
      </c>
      <c r="G21" s="154">
        <f t="shared" ref="G21:G30" si="2">F21*E21</f>
        <v>0</v>
      </c>
      <c r="H21" s="155">
        <v>240</v>
      </c>
      <c r="I21" s="155">
        <v>15</v>
      </c>
      <c r="J21" s="156">
        <f t="shared" ref="J21:J30" si="3">(G21*(1-I21%))/H21</f>
        <v>0</v>
      </c>
    </row>
    <row r="22" spans="2:10" ht="16.5" x14ac:dyDescent="0.2">
      <c r="B22" s="158">
        <v>2</v>
      </c>
      <c r="C22" s="159" t="s">
        <v>275</v>
      </c>
      <c r="D22" s="160" t="s">
        <v>274</v>
      </c>
      <c r="E22" s="153"/>
      <c r="F22" s="161">
        <v>200</v>
      </c>
      <c r="G22" s="162">
        <f t="shared" si="2"/>
        <v>0</v>
      </c>
      <c r="H22" s="163">
        <v>60</v>
      </c>
      <c r="I22" s="163">
        <v>15</v>
      </c>
      <c r="J22" s="164">
        <f t="shared" si="3"/>
        <v>0</v>
      </c>
    </row>
    <row r="23" spans="2:10" ht="33" x14ac:dyDescent="0.2">
      <c r="B23" s="150">
        <v>3</v>
      </c>
      <c r="C23" s="151" t="s">
        <v>276</v>
      </c>
      <c r="D23" s="152" t="s">
        <v>274</v>
      </c>
      <c r="E23" s="153"/>
      <c r="F23" s="150">
        <v>80</v>
      </c>
      <c r="G23" s="154">
        <f t="shared" si="2"/>
        <v>0</v>
      </c>
      <c r="H23" s="165">
        <v>60</v>
      </c>
      <c r="I23" s="165">
        <v>10</v>
      </c>
      <c r="J23" s="156">
        <f t="shared" si="3"/>
        <v>0</v>
      </c>
    </row>
    <row r="24" spans="2:10" ht="16.5" x14ac:dyDescent="0.2">
      <c r="B24" s="166">
        <v>4</v>
      </c>
      <c r="C24" s="159" t="s">
        <v>277</v>
      </c>
      <c r="D24" s="160" t="s">
        <v>274</v>
      </c>
      <c r="E24" s="153"/>
      <c r="F24" s="161">
        <v>20</v>
      </c>
      <c r="G24" s="162">
        <f t="shared" si="2"/>
        <v>0</v>
      </c>
      <c r="H24" s="163">
        <v>60</v>
      </c>
      <c r="I24" s="163">
        <v>10</v>
      </c>
      <c r="J24" s="164">
        <f t="shared" si="3"/>
        <v>0</v>
      </c>
    </row>
    <row r="25" spans="2:10" ht="16.5" x14ac:dyDescent="0.2">
      <c r="B25" s="150">
        <v>5</v>
      </c>
      <c r="C25" s="151" t="s">
        <v>278</v>
      </c>
      <c r="D25" s="152" t="s">
        <v>274</v>
      </c>
      <c r="E25" s="153"/>
      <c r="F25" s="150">
        <v>80</v>
      </c>
      <c r="G25" s="154">
        <f t="shared" si="2"/>
        <v>0</v>
      </c>
      <c r="H25" s="165">
        <v>24</v>
      </c>
      <c r="I25" s="165">
        <v>10</v>
      </c>
      <c r="J25" s="156">
        <f t="shared" si="3"/>
        <v>0</v>
      </c>
    </row>
    <row r="26" spans="2:10" ht="33" x14ac:dyDescent="0.2">
      <c r="B26" s="166">
        <v>6</v>
      </c>
      <c r="C26" s="159" t="s">
        <v>279</v>
      </c>
      <c r="D26" s="160" t="s">
        <v>274</v>
      </c>
      <c r="E26" s="153"/>
      <c r="F26" s="161">
        <v>20</v>
      </c>
      <c r="G26" s="162">
        <f t="shared" si="2"/>
        <v>0</v>
      </c>
      <c r="H26" s="163">
        <v>60</v>
      </c>
      <c r="I26" s="163">
        <v>10</v>
      </c>
      <c r="J26" s="164">
        <f t="shared" si="3"/>
        <v>0</v>
      </c>
    </row>
    <row r="27" spans="2:10" ht="16.5" x14ac:dyDescent="0.2">
      <c r="B27" s="150">
        <v>7</v>
      </c>
      <c r="C27" s="151" t="s">
        <v>280</v>
      </c>
      <c r="D27" s="152" t="s">
        <v>274</v>
      </c>
      <c r="E27" s="153"/>
      <c r="F27" s="150">
        <v>80</v>
      </c>
      <c r="G27" s="154">
        <f t="shared" si="2"/>
        <v>0</v>
      </c>
      <c r="H27" s="165">
        <v>60</v>
      </c>
      <c r="I27" s="165">
        <v>10</v>
      </c>
      <c r="J27" s="156">
        <f t="shared" si="3"/>
        <v>0</v>
      </c>
    </row>
    <row r="28" spans="2:10" ht="16.5" x14ac:dyDescent="0.2">
      <c r="B28" s="166">
        <v>8</v>
      </c>
      <c r="C28" s="159" t="s">
        <v>282</v>
      </c>
      <c r="D28" s="160" t="s">
        <v>274</v>
      </c>
      <c r="E28" s="153"/>
      <c r="F28" s="161">
        <v>80</v>
      </c>
      <c r="G28" s="162">
        <f t="shared" si="2"/>
        <v>0</v>
      </c>
      <c r="H28" s="163">
        <v>36</v>
      </c>
      <c r="I28" s="163">
        <v>10</v>
      </c>
      <c r="J28" s="164">
        <f t="shared" si="3"/>
        <v>0</v>
      </c>
    </row>
    <row r="29" spans="2:10" ht="16.5" x14ac:dyDescent="0.2">
      <c r="B29" s="150">
        <v>9</v>
      </c>
      <c r="C29" s="151" t="s">
        <v>288</v>
      </c>
      <c r="D29" s="152" t="s">
        <v>274</v>
      </c>
      <c r="E29" s="153"/>
      <c r="F29" s="150">
        <v>40</v>
      </c>
      <c r="G29" s="154">
        <f t="shared" si="2"/>
        <v>0</v>
      </c>
      <c r="H29" s="165">
        <v>60</v>
      </c>
      <c r="I29" s="165">
        <v>10</v>
      </c>
      <c r="J29" s="156">
        <f t="shared" si="3"/>
        <v>0</v>
      </c>
    </row>
    <row r="30" spans="2:10" ht="16.5" x14ac:dyDescent="0.2">
      <c r="B30" s="166">
        <v>10</v>
      </c>
      <c r="C30" s="159" t="s">
        <v>283</v>
      </c>
      <c r="D30" s="160" t="s">
        <v>274</v>
      </c>
      <c r="E30" s="153"/>
      <c r="F30" s="161">
        <v>80</v>
      </c>
      <c r="G30" s="162">
        <f t="shared" si="2"/>
        <v>0</v>
      </c>
      <c r="H30" s="163">
        <v>60</v>
      </c>
      <c r="I30" s="163">
        <v>10</v>
      </c>
      <c r="J30" s="164">
        <f t="shared" si="3"/>
        <v>0</v>
      </c>
    </row>
    <row r="31" spans="2:10" ht="16.5" x14ac:dyDescent="0.3">
      <c r="B31" s="167"/>
      <c r="C31" s="269" t="s">
        <v>284</v>
      </c>
      <c r="D31" s="269"/>
      <c r="E31" s="269"/>
      <c r="F31" s="269"/>
      <c r="G31" s="269"/>
      <c r="H31" s="269"/>
      <c r="I31" s="269"/>
      <c r="J31" s="168">
        <f>SUM(J21:J30)</f>
        <v>0</v>
      </c>
    </row>
    <row r="32" spans="2:10" ht="16.5" x14ac:dyDescent="0.3">
      <c r="B32" s="265" t="s">
        <v>289</v>
      </c>
      <c r="C32" s="265"/>
      <c r="D32" s="265"/>
      <c r="E32" s="265"/>
      <c r="F32" s="265"/>
      <c r="G32" s="265"/>
      <c r="H32" s="265"/>
      <c r="I32" s="265"/>
      <c r="J32" s="169">
        <f>QTDE_DE_POSTOS_12X36_VIG_NOT*2</f>
        <v>80</v>
      </c>
    </row>
    <row r="33" spans="2:10" ht="16.5" x14ac:dyDescent="0.3">
      <c r="B33" s="265" t="s">
        <v>286</v>
      </c>
      <c r="C33" s="265"/>
      <c r="D33" s="265"/>
      <c r="E33" s="265"/>
      <c r="F33" s="265"/>
      <c r="G33" s="265"/>
      <c r="H33" s="265"/>
      <c r="I33" s="265"/>
      <c r="J33" s="169">
        <f>ROUND(J31/J32,2)</f>
        <v>0</v>
      </c>
    </row>
    <row r="34" spans="2:10" ht="16.5" x14ac:dyDescent="0.2">
      <c r="B34" s="267" t="s">
        <v>290</v>
      </c>
      <c r="C34" s="267"/>
      <c r="D34" s="267"/>
      <c r="E34" s="267"/>
      <c r="F34" s="267"/>
      <c r="G34" s="267"/>
      <c r="H34" s="267"/>
      <c r="I34" s="267"/>
      <c r="J34" s="267"/>
    </row>
    <row r="35" spans="2:10" ht="16.5" x14ac:dyDescent="0.3">
      <c r="B35" s="268"/>
      <c r="C35" s="268"/>
      <c r="D35" s="268"/>
      <c r="E35" s="268"/>
      <c r="F35" s="268"/>
      <c r="G35" s="268"/>
      <c r="H35" s="268"/>
    </row>
    <row r="36" spans="2:10" ht="49.5" x14ac:dyDescent="0.2">
      <c r="B36" s="149" t="s">
        <v>31</v>
      </c>
      <c r="C36" s="149" t="s">
        <v>265</v>
      </c>
      <c r="D36" s="149" t="s">
        <v>266</v>
      </c>
      <c r="E36" s="149" t="s">
        <v>267</v>
      </c>
      <c r="F36" s="149" t="s">
        <v>268</v>
      </c>
      <c r="G36" s="149" t="s">
        <v>269</v>
      </c>
      <c r="H36" s="149" t="s">
        <v>270</v>
      </c>
      <c r="I36" s="149" t="s">
        <v>271</v>
      </c>
      <c r="J36" s="149" t="s">
        <v>272</v>
      </c>
    </row>
    <row r="37" spans="2:10" ht="16.5" x14ac:dyDescent="0.2">
      <c r="B37" s="150">
        <v>1</v>
      </c>
      <c r="C37" s="151" t="s">
        <v>273</v>
      </c>
      <c r="D37" s="152" t="s">
        <v>274</v>
      </c>
      <c r="E37" s="153"/>
      <c r="F37" s="150">
        <v>27</v>
      </c>
      <c r="G37" s="154">
        <f t="shared" ref="G37:G45" si="4">F37*E37</f>
        <v>0</v>
      </c>
      <c r="H37" s="155">
        <v>240</v>
      </c>
      <c r="I37" s="155">
        <v>15</v>
      </c>
      <c r="J37" s="156" t="str">
        <f>IF(((G37*(1-I37%))/H37)=0,"",((G37*(1-I37%))/H37))</f>
        <v/>
      </c>
    </row>
    <row r="38" spans="2:10" ht="16.5" x14ac:dyDescent="0.2">
      <c r="B38" s="158">
        <v>2</v>
      </c>
      <c r="C38" s="159" t="s">
        <v>275</v>
      </c>
      <c r="D38" s="160" t="s">
        <v>274</v>
      </c>
      <c r="E38" s="153"/>
      <c r="F38" s="161">
        <v>270</v>
      </c>
      <c r="G38" s="162">
        <f t="shared" si="4"/>
        <v>0</v>
      </c>
      <c r="H38" s="163">
        <v>60</v>
      </c>
      <c r="I38" s="163">
        <v>15</v>
      </c>
      <c r="J38" s="164">
        <f t="shared" ref="J38:J45" si="5">(G38*(1-I38%))/H38</f>
        <v>0</v>
      </c>
    </row>
    <row r="39" spans="2:10" ht="33" x14ac:dyDescent="0.2">
      <c r="B39" s="150">
        <v>3</v>
      </c>
      <c r="C39" s="151" t="s">
        <v>276</v>
      </c>
      <c r="D39" s="152" t="s">
        <v>274</v>
      </c>
      <c r="E39" s="153"/>
      <c r="F39" s="150">
        <v>27</v>
      </c>
      <c r="G39" s="154">
        <f t="shared" si="4"/>
        <v>0</v>
      </c>
      <c r="H39" s="165">
        <v>60</v>
      </c>
      <c r="I39" s="165">
        <v>10</v>
      </c>
      <c r="J39" s="156">
        <f t="shared" si="5"/>
        <v>0</v>
      </c>
    </row>
    <row r="40" spans="2:10" ht="16.5" x14ac:dyDescent="0.2">
      <c r="B40" s="166">
        <v>4</v>
      </c>
      <c r="C40" s="159" t="s">
        <v>277</v>
      </c>
      <c r="D40" s="160" t="s">
        <v>274</v>
      </c>
      <c r="E40" s="153"/>
      <c r="F40" s="161">
        <v>27</v>
      </c>
      <c r="G40" s="162">
        <f t="shared" si="4"/>
        <v>0</v>
      </c>
      <c r="H40" s="163">
        <v>60</v>
      </c>
      <c r="I40" s="163">
        <v>10</v>
      </c>
      <c r="J40" s="164">
        <f t="shared" si="5"/>
        <v>0</v>
      </c>
    </row>
    <row r="41" spans="2:10" ht="16.5" x14ac:dyDescent="0.2">
      <c r="B41" s="150">
        <v>5</v>
      </c>
      <c r="C41" s="151" t="s">
        <v>278</v>
      </c>
      <c r="D41" s="152" t="s">
        <v>274</v>
      </c>
      <c r="E41" s="153"/>
      <c r="F41" s="150">
        <v>27</v>
      </c>
      <c r="G41" s="154">
        <f t="shared" si="4"/>
        <v>0</v>
      </c>
      <c r="H41" s="165">
        <v>24</v>
      </c>
      <c r="I41" s="165">
        <v>10</v>
      </c>
      <c r="J41" s="156">
        <f t="shared" si="5"/>
        <v>0</v>
      </c>
    </row>
    <row r="42" spans="2:10" ht="33" x14ac:dyDescent="0.2">
      <c r="B42" s="166">
        <v>6</v>
      </c>
      <c r="C42" s="159" t="s">
        <v>279</v>
      </c>
      <c r="D42" s="160" t="s">
        <v>274</v>
      </c>
      <c r="E42" s="153"/>
      <c r="F42" s="161">
        <v>27</v>
      </c>
      <c r="G42" s="162">
        <f t="shared" si="4"/>
        <v>0</v>
      </c>
      <c r="H42" s="163">
        <v>60</v>
      </c>
      <c r="I42" s="163">
        <v>10</v>
      </c>
      <c r="J42" s="164">
        <f t="shared" si="5"/>
        <v>0</v>
      </c>
    </row>
    <row r="43" spans="2:10" ht="16.5" x14ac:dyDescent="0.2">
      <c r="B43" s="150">
        <v>7</v>
      </c>
      <c r="C43" s="151" t="s">
        <v>280</v>
      </c>
      <c r="D43" s="152" t="s">
        <v>274</v>
      </c>
      <c r="E43" s="153"/>
      <c r="F43" s="150">
        <v>27</v>
      </c>
      <c r="G43" s="154">
        <f t="shared" si="4"/>
        <v>0</v>
      </c>
      <c r="H43" s="165">
        <v>60</v>
      </c>
      <c r="I43" s="165">
        <v>10</v>
      </c>
      <c r="J43" s="156">
        <f t="shared" si="5"/>
        <v>0</v>
      </c>
    </row>
    <row r="44" spans="2:10" ht="16.5" x14ac:dyDescent="0.2">
      <c r="B44" s="166">
        <v>8</v>
      </c>
      <c r="C44" s="159" t="s">
        <v>282</v>
      </c>
      <c r="D44" s="160" t="s">
        <v>274</v>
      </c>
      <c r="E44" s="153"/>
      <c r="F44" s="161">
        <v>27</v>
      </c>
      <c r="G44" s="162">
        <f t="shared" si="4"/>
        <v>0</v>
      </c>
      <c r="H44" s="163">
        <v>36</v>
      </c>
      <c r="I44" s="163">
        <v>10</v>
      </c>
      <c r="J44" s="164">
        <f t="shared" si="5"/>
        <v>0</v>
      </c>
    </row>
    <row r="45" spans="2:10" ht="16.5" x14ac:dyDescent="0.2">
      <c r="B45" s="170">
        <v>9</v>
      </c>
      <c r="C45" s="171" t="s">
        <v>283</v>
      </c>
      <c r="D45" s="152" t="s">
        <v>274</v>
      </c>
      <c r="E45" s="153"/>
      <c r="F45" s="172">
        <v>27</v>
      </c>
      <c r="G45" s="173">
        <f t="shared" si="4"/>
        <v>0</v>
      </c>
      <c r="H45" s="174">
        <v>60</v>
      </c>
      <c r="I45" s="174">
        <v>10</v>
      </c>
      <c r="J45" s="156">
        <f t="shared" si="5"/>
        <v>0</v>
      </c>
    </row>
    <row r="46" spans="2:10" ht="16.5" x14ac:dyDescent="0.3">
      <c r="B46" s="167"/>
      <c r="C46" s="269" t="s">
        <v>284</v>
      </c>
      <c r="D46" s="269"/>
      <c r="E46" s="269"/>
      <c r="F46" s="269"/>
      <c r="G46" s="269"/>
      <c r="H46" s="269"/>
      <c r="I46" s="269"/>
      <c r="J46" s="168">
        <f>SUM(J37:J45)</f>
        <v>0</v>
      </c>
    </row>
    <row r="47" spans="2:10" ht="16.5" x14ac:dyDescent="0.3">
      <c r="B47" s="265" t="s">
        <v>291</v>
      </c>
      <c r="C47" s="265"/>
      <c r="D47" s="265"/>
      <c r="E47" s="265"/>
      <c r="F47" s="265"/>
      <c r="G47" s="265"/>
      <c r="H47" s="265"/>
      <c r="I47" s="265"/>
      <c r="J47" s="169">
        <f>QTDE_DE_POSTOS_VIG_44</f>
        <v>27</v>
      </c>
    </row>
    <row r="48" spans="2:10" ht="16.5" x14ac:dyDescent="0.3">
      <c r="B48" s="265" t="s">
        <v>286</v>
      </c>
      <c r="C48" s="265"/>
      <c r="D48" s="265"/>
      <c r="E48" s="265"/>
      <c r="F48" s="265"/>
      <c r="G48" s="265"/>
      <c r="H48" s="265"/>
      <c r="I48" s="265"/>
      <c r="J48" s="169">
        <f>ROUND(J46/J47,2)</f>
        <v>0</v>
      </c>
    </row>
    <row r="49" spans="2:10" ht="16.5" x14ac:dyDescent="0.2">
      <c r="B49" s="267" t="s">
        <v>292</v>
      </c>
      <c r="C49" s="267"/>
      <c r="D49" s="267"/>
      <c r="E49" s="267"/>
      <c r="F49" s="267"/>
      <c r="G49" s="267"/>
      <c r="H49" s="267"/>
      <c r="I49" s="267"/>
      <c r="J49" s="267"/>
    </row>
    <row r="50" spans="2:10" ht="16.5" x14ac:dyDescent="0.3">
      <c r="B50" s="268"/>
      <c r="C50" s="268"/>
      <c r="D50" s="268"/>
      <c r="E50" s="268"/>
      <c r="F50" s="268"/>
      <c r="G50" s="268"/>
      <c r="H50" s="268"/>
    </row>
    <row r="51" spans="2:10" ht="49.5" x14ac:dyDescent="0.2">
      <c r="B51" s="149" t="s">
        <v>31</v>
      </c>
      <c r="C51" s="149" t="s">
        <v>265</v>
      </c>
      <c r="D51" s="149" t="s">
        <v>266</v>
      </c>
      <c r="E51" s="149" t="s">
        <v>267</v>
      </c>
      <c r="F51" s="149" t="s">
        <v>268</v>
      </c>
      <c r="G51" s="149" t="s">
        <v>269</v>
      </c>
      <c r="H51" s="149" t="s">
        <v>270</v>
      </c>
      <c r="I51" s="149" t="s">
        <v>271</v>
      </c>
      <c r="J51" s="149" t="s">
        <v>272</v>
      </c>
    </row>
    <row r="52" spans="2:10" ht="33" x14ac:dyDescent="0.2">
      <c r="B52" s="166">
        <v>1</v>
      </c>
      <c r="C52" s="159" t="s">
        <v>279</v>
      </c>
      <c r="D52" s="160" t="s">
        <v>274</v>
      </c>
      <c r="E52" s="153"/>
      <c r="F52" s="161">
        <v>2</v>
      </c>
      <c r="G52" s="162">
        <f t="shared" ref="G52:G53" si="6">F52*E52</f>
        <v>0</v>
      </c>
      <c r="H52" s="163">
        <v>60</v>
      </c>
      <c r="I52" s="163">
        <v>20</v>
      </c>
      <c r="J52" s="164">
        <f>(G52*(1-I52%))/H52</f>
        <v>0</v>
      </c>
    </row>
    <row r="53" spans="2:10" ht="16.5" x14ac:dyDescent="0.2">
      <c r="B53" s="150">
        <v>2</v>
      </c>
      <c r="C53" s="151" t="s">
        <v>280</v>
      </c>
      <c r="D53" s="152" t="s">
        <v>274</v>
      </c>
      <c r="E53" s="153"/>
      <c r="F53" s="150">
        <v>5</v>
      </c>
      <c r="G53" s="154">
        <f t="shared" si="6"/>
        <v>0</v>
      </c>
      <c r="H53" s="165">
        <v>60</v>
      </c>
      <c r="I53" s="165">
        <v>10</v>
      </c>
      <c r="J53" s="156">
        <f>(G53*(1-I53%))/H53</f>
        <v>0</v>
      </c>
    </row>
    <row r="54" spans="2:10" ht="16.5" x14ac:dyDescent="0.3">
      <c r="B54" s="167"/>
      <c r="C54" s="269" t="s">
        <v>284</v>
      </c>
      <c r="D54" s="269"/>
      <c r="E54" s="269"/>
      <c r="F54" s="269"/>
      <c r="G54" s="269"/>
      <c r="H54" s="269"/>
      <c r="I54" s="269"/>
      <c r="J54" s="168">
        <f>SUM(J52:J53)</f>
        <v>0</v>
      </c>
    </row>
    <row r="55" spans="2:10" ht="16.5" x14ac:dyDescent="0.3">
      <c r="B55" s="265" t="s">
        <v>293</v>
      </c>
      <c r="C55" s="265"/>
      <c r="D55" s="265"/>
      <c r="E55" s="265"/>
      <c r="F55" s="265"/>
      <c r="G55" s="265"/>
      <c r="H55" s="265"/>
      <c r="I55" s="265"/>
      <c r="J55" s="169">
        <f>QTDE_DE_POSTOS_SUP_DIU_44+(QTDE_DE_POSTOS_12X36_SUP_DIU+QTDE_DE_POSTOS_12X36_SUP_NOT)*2</f>
        <v>5</v>
      </c>
    </row>
    <row r="56" spans="2:10" ht="16.5" x14ac:dyDescent="0.3">
      <c r="B56" s="265" t="s">
        <v>286</v>
      </c>
      <c r="C56" s="265"/>
      <c r="D56" s="265"/>
      <c r="E56" s="265"/>
      <c r="F56" s="265"/>
      <c r="G56" s="265"/>
      <c r="H56" s="265"/>
      <c r="I56" s="265"/>
      <c r="J56" s="169">
        <f>ROUND(J54/J55,2)</f>
        <v>0</v>
      </c>
    </row>
    <row r="57" spans="2:10" ht="16.5" x14ac:dyDescent="0.2">
      <c r="B57" s="267" t="s">
        <v>294</v>
      </c>
      <c r="C57" s="267"/>
      <c r="D57" s="267"/>
      <c r="E57" s="267"/>
      <c r="F57" s="267"/>
      <c r="G57" s="267"/>
      <c r="H57" s="267"/>
      <c r="I57" s="267"/>
      <c r="J57" s="267"/>
    </row>
    <row r="58" spans="2:10" ht="16.5" x14ac:dyDescent="0.3">
      <c r="B58" s="268"/>
      <c r="C58" s="268"/>
      <c r="D58" s="268"/>
      <c r="E58" s="268"/>
      <c r="F58" s="268"/>
      <c r="G58" s="268"/>
      <c r="H58" s="268"/>
    </row>
    <row r="59" spans="2:10" ht="49.5" x14ac:dyDescent="0.2">
      <c r="B59" s="149" t="s">
        <v>31</v>
      </c>
      <c r="C59" s="149" t="s">
        <v>265</v>
      </c>
      <c r="D59" s="149" t="s">
        <v>266</v>
      </c>
      <c r="E59" s="149" t="s">
        <v>267</v>
      </c>
      <c r="F59" s="149" t="s">
        <v>268</v>
      </c>
      <c r="G59" s="149" t="s">
        <v>269</v>
      </c>
      <c r="H59" s="149" t="s">
        <v>270</v>
      </c>
      <c r="I59" s="149" t="s">
        <v>271</v>
      </c>
      <c r="J59" s="149" t="s">
        <v>272</v>
      </c>
    </row>
    <row r="60" spans="2:10" ht="82.5" x14ac:dyDescent="0.2">
      <c r="B60" s="175">
        <v>1</v>
      </c>
      <c r="C60" s="159" t="s">
        <v>295</v>
      </c>
      <c r="D60" s="160" t="s">
        <v>274</v>
      </c>
      <c r="E60" s="153"/>
      <c r="F60" s="161">
        <v>6</v>
      </c>
      <c r="G60" s="162">
        <f>F60*E60</f>
        <v>0</v>
      </c>
      <c r="H60" s="163">
        <v>240</v>
      </c>
      <c r="I60" s="163">
        <v>10</v>
      </c>
      <c r="J60" s="164">
        <f t="shared" ref="J60:J67" si="7">(G60*(1-I60%))/H60</f>
        <v>0</v>
      </c>
    </row>
    <row r="61" spans="2:10" ht="33" x14ac:dyDescent="0.2">
      <c r="B61" s="150">
        <v>2</v>
      </c>
      <c r="C61" s="151" t="s">
        <v>296</v>
      </c>
      <c r="D61" s="152" t="s">
        <v>274</v>
      </c>
      <c r="E61" s="153"/>
      <c r="F61" s="150">
        <v>6</v>
      </c>
      <c r="G61" s="154">
        <f t="shared" ref="G61:G67" si="8">F61*E61</f>
        <v>0</v>
      </c>
      <c r="H61" s="165">
        <v>60</v>
      </c>
      <c r="I61" s="165">
        <v>10</v>
      </c>
      <c r="J61" s="156">
        <f t="shared" si="7"/>
        <v>0</v>
      </c>
    </row>
    <row r="62" spans="2:10" ht="16.5" x14ac:dyDescent="0.2">
      <c r="B62" s="166">
        <v>3</v>
      </c>
      <c r="C62" s="159" t="s">
        <v>277</v>
      </c>
      <c r="D62" s="160" t="s">
        <v>274</v>
      </c>
      <c r="E62" s="153"/>
      <c r="F62" s="161">
        <v>6</v>
      </c>
      <c r="G62" s="162">
        <f t="shared" si="8"/>
        <v>0</v>
      </c>
      <c r="H62" s="163">
        <v>60</v>
      </c>
      <c r="I62" s="163">
        <v>10</v>
      </c>
      <c r="J62" s="164">
        <f t="shared" si="7"/>
        <v>0</v>
      </c>
    </row>
    <row r="63" spans="2:10" ht="16.5" x14ac:dyDescent="0.2">
      <c r="B63" s="150">
        <v>4</v>
      </c>
      <c r="C63" s="151" t="s">
        <v>278</v>
      </c>
      <c r="D63" s="152" t="s">
        <v>274</v>
      </c>
      <c r="E63" s="153"/>
      <c r="F63" s="150">
        <v>6</v>
      </c>
      <c r="G63" s="154">
        <f t="shared" si="8"/>
        <v>0</v>
      </c>
      <c r="H63" s="165">
        <v>24</v>
      </c>
      <c r="I63" s="165">
        <v>10</v>
      </c>
      <c r="J63" s="156">
        <f t="shared" si="7"/>
        <v>0</v>
      </c>
    </row>
    <row r="64" spans="2:10" ht="33" x14ac:dyDescent="0.2">
      <c r="B64" s="166">
        <v>5</v>
      </c>
      <c r="C64" s="159" t="s">
        <v>279</v>
      </c>
      <c r="D64" s="160" t="s">
        <v>274</v>
      </c>
      <c r="E64" s="153"/>
      <c r="F64" s="161">
        <v>6</v>
      </c>
      <c r="G64" s="162">
        <f t="shared" si="8"/>
        <v>0</v>
      </c>
      <c r="H64" s="163">
        <v>60</v>
      </c>
      <c r="I64" s="163">
        <v>10</v>
      </c>
      <c r="J64" s="164">
        <f t="shared" si="7"/>
        <v>0</v>
      </c>
    </row>
    <row r="65" spans="2:10" ht="16.5" x14ac:dyDescent="0.2">
      <c r="B65" s="150">
        <v>6</v>
      </c>
      <c r="C65" s="151" t="s">
        <v>280</v>
      </c>
      <c r="D65" s="152" t="s">
        <v>274</v>
      </c>
      <c r="E65" s="153"/>
      <c r="F65" s="150">
        <v>6</v>
      </c>
      <c r="G65" s="154">
        <f t="shared" si="8"/>
        <v>0</v>
      </c>
      <c r="H65" s="165">
        <v>60</v>
      </c>
      <c r="I65" s="165">
        <v>10</v>
      </c>
      <c r="J65" s="156">
        <f t="shared" si="7"/>
        <v>0</v>
      </c>
    </row>
    <row r="66" spans="2:10" ht="16.5" x14ac:dyDescent="0.2">
      <c r="B66" s="150">
        <v>7</v>
      </c>
      <c r="C66" s="159" t="s">
        <v>282</v>
      </c>
      <c r="D66" s="160" t="s">
        <v>274</v>
      </c>
      <c r="E66" s="153"/>
      <c r="F66" s="161">
        <v>6</v>
      </c>
      <c r="G66" s="162">
        <f t="shared" si="8"/>
        <v>0</v>
      </c>
      <c r="H66" s="163">
        <v>36</v>
      </c>
      <c r="I66" s="163">
        <v>10</v>
      </c>
      <c r="J66" s="164">
        <f t="shared" si="7"/>
        <v>0</v>
      </c>
    </row>
    <row r="67" spans="2:10" ht="16.5" x14ac:dyDescent="0.2">
      <c r="B67" s="170">
        <v>8</v>
      </c>
      <c r="C67" s="171" t="s">
        <v>283</v>
      </c>
      <c r="D67" s="152" t="s">
        <v>274</v>
      </c>
      <c r="E67" s="153"/>
      <c r="F67" s="172">
        <v>6</v>
      </c>
      <c r="G67" s="173">
        <f t="shared" si="8"/>
        <v>0</v>
      </c>
      <c r="H67" s="174">
        <v>60</v>
      </c>
      <c r="I67" s="174">
        <v>10</v>
      </c>
      <c r="J67" s="156">
        <f t="shared" si="7"/>
        <v>0</v>
      </c>
    </row>
    <row r="68" spans="2:10" ht="16.5" x14ac:dyDescent="0.3">
      <c r="B68" s="167"/>
      <c r="C68" s="269" t="s">
        <v>284</v>
      </c>
      <c r="D68" s="269"/>
      <c r="E68" s="269"/>
      <c r="F68" s="269"/>
      <c r="G68" s="269"/>
      <c r="H68" s="269"/>
      <c r="I68" s="269"/>
      <c r="J68" s="168">
        <f>SUM(J60:J67)</f>
        <v>0</v>
      </c>
    </row>
    <row r="69" spans="2:10" ht="16.5" x14ac:dyDescent="0.3">
      <c r="B69" s="265" t="s">
        <v>321</v>
      </c>
      <c r="C69" s="265"/>
      <c r="D69" s="265"/>
      <c r="E69" s="265"/>
      <c r="F69" s="265"/>
      <c r="G69" s="265"/>
      <c r="H69" s="265"/>
      <c r="I69" s="265"/>
      <c r="J69" s="169">
        <f>QTDE_DE_POSTOS_VIG_44_ÑLETAL</f>
        <v>6</v>
      </c>
    </row>
    <row r="70" spans="2:10" ht="16.5" x14ac:dyDescent="0.3">
      <c r="B70" s="265" t="s">
        <v>286</v>
      </c>
      <c r="C70" s="265"/>
      <c r="D70" s="265"/>
      <c r="E70" s="265"/>
      <c r="F70" s="265"/>
      <c r="G70" s="265"/>
      <c r="H70" s="265"/>
      <c r="I70" s="265"/>
      <c r="J70" s="169">
        <f>ROUND(J68/J69,2)</f>
        <v>0</v>
      </c>
    </row>
    <row r="72" spans="2:10" ht="16.5" x14ac:dyDescent="0.2">
      <c r="B72" s="267" t="s">
        <v>297</v>
      </c>
      <c r="C72" s="267"/>
      <c r="D72" s="267"/>
      <c r="E72" s="267"/>
      <c r="F72" s="267"/>
      <c r="G72" s="267"/>
      <c r="H72" s="267"/>
      <c r="I72" s="267"/>
      <c r="J72" s="267"/>
    </row>
    <row r="73" spans="2:10" ht="16.5" x14ac:dyDescent="0.3">
      <c r="B73" s="268"/>
      <c r="C73" s="268"/>
      <c r="D73" s="268"/>
      <c r="E73" s="268"/>
      <c r="F73" s="268"/>
      <c r="G73" s="268"/>
      <c r="H73" s="268"/>
    </row>
    <row r="74" spans="2:10" ht="49.5" x14ac:dyDescent="0.2">
      <c r="B74" s="149" t="s">
        <v>31</v>
      </c>
      <c r="C74" s="149" t="s">
        <v>265</v>
      </c>
      <c r="D74" s="149" t="s">
        <v>266</v>
      </c>
      <c r="E74" s="149" t="s">
        <v>267</v>
      </c>
      <c r="F74" s="149" t="s">
        <v>268</v>
      </c>
      <c r="G74" s="149" t="s">
        <v>269</v>
      </c>
      <c r="H74" s="149" t="s">
        <v>270</v>
      </c>
      <c r="I74" s="149" t="s">
        <v>271</v>
      </c>
      <c r="J74" s="149" t="s">
        <v>272</v>
      </c>
    </row>
    <row r="75" spans="2:10" ht="16.5" x14ac:dyDescent="0.2">
      <c r="B75" s="150">
        <v>1</v>
      </c>
      <c r="C75" s="151" t="s">
        <v>298</v>
      </c>
      <c r="D75" s="152" t="s">
        <v>274</v>
      </c>
      <c r="E75" s="153"/>
      <c r="F75" s="150">
        <v>17</v>
      </c>
      <c r="G75" s="154">
        <f>F75*E75</f>
        <v>0</v>
      </c>
      <c r="H75" s="155">
        <v>240</v>
      </c>
      <c r="I75" s="155">
        <v>20</v>
      </c>
      <c r="J75" s="156">
        <f>(G75*(1-I75%))/H75</f>
        <v>0</v>
      </c>
    </row>
    <row r="76" spans="2:10" ht="33" x14ac:dyDescent="0.2">
      <c r="B76" s="170">
        <v>2</v>
      </c>
      <c r="C76" s="171" t="s">
        <v>299</v>
      </c>
      <c r="D76" s="176" t="s">
        <v>274</v>
      </c>
      <c r="E76" s="153"/>
      <c r="F76" s="172">
        <v>15</v>
      </c>
      <c r="G76" s="154">
        <f>F76*E76</f>
        <v>0</v>
      </c>
      <c r="H76" s="177">
        <f>10*12</f>
        <v>120</v>
      </c>
      <c r="I76" s="177">
        <v>10</v>
      </c>
      <c r="J76" s="156">
        <f>(G76*(1-I76%))/H76</f>
        <v>0</v>
      </c>
    </row>
    <row r="77" spans="2:10" ht="16.5" x14ac:dyDescent="0.3">
      <c r="B77" s="167"/>
      <c r="C77" s="269" t="s">
        <v>284</v>
      </c>
      <c r="D77" s="269"/>
      <c r="E77" s="269"/>
      <c r="F77" s="269"/>
      <c r="G77" s="269"/>
      <c r="H77" s="269"/>
      <c r="I77" s="269"/>
      <c r="J77" s="168">
        <f>SUM(J75:J76)</f>
        <v>0</v>
      </c>
    </row>
    <row r="78" spans="2:10" ht="16.5" x14ac:dyDescent="0.3">
      <c r="B78" s="265" t="s">
        <v>300</v>
      </c>
      <c r="C78" s="265"/>
      <c r="D78" s="265"/>
      <c r="E78" s="265"/>
      <c r="F78" s="265"/>
      <c r="G78" s="265"/>
      <c r="H78" s="265"/>
      <c r="I78" s="265"/>
      <c r="J78" s="169">
        <f>J69+J55+J47+J32+J16</f>
        <v>198</v>
      </c>
    </row>
    <row r="79" spans="2:10" ht="16.5" x14ac:dyDescent="0.3">
      <c r="B79" s="265" t="s">
        <v>286</v>
      </c>
      <c r="C79" s="265"/>
      <c r="D79" s="265"/>
      <c r="E79" s="265"/>
      <c r="F79" s="265"/>
      <c r="G79" s="265"/>
      <c r="H79" s="265"/>
      <c r="I79" s="265"/>
      <c r="J79" s="169">
        <f>ROUND(J77/J78,2)</f>
        <v>0</v>
      </c>
    </row>
    <row r="80" spans="2:10" ht="25.5" x14ac:dyDescent="0.5">
      <c r="B80" s="266" t="s">
        <v>301</v>
      </c>
      <c r="C80" s="266"/>
      <c r="D80" s="266"/>
      <c r="E80" s="266"/>
      <c r="F80" s="266"/>
      <c r="G80" s="266"/>
      <c r="H80" s="266"/>
    </row>
    <row r="81" spans="2:8" ht="16.5" x14ac:dyDescent="0.2">
      <c r="B81" s="267" t="s">
        <v>302</v>
      </c>
      <c r="C81" s="267"/>
      <c r="D81" s="267"/>
      <c r="E81" s="267"/>
      <c r="F81" s="267"/>
      <c r="G81" s="267"/>
      <c r="H81" s="267"/>
    </row>
    <row r="82" spans="2:8" ht="16.5" x14ac:dyDescent="0.3">
      <c r="B82" s="268" t="s">
        <v>303</v>
      </c>
      <c r="C82" s="268"/>
      <c r="D82" s="268"/>
      <c r="E82" s="268"/>
      <c r="F82" s="268"/>
      <c r="G82" s="268"/>
      <c r="H82" s="268"/>
    </row>
    <row r="83" spans="2:8" ht="49.5" x14ac:dyDescent="0.2">
      <c r="B83" s="149" t="s">
        <v>31</v>
      </c>
      <c r="C83" s="149" t="s">
        <v>304</v>
      </c>
      <c r="D83" s="149" t="s">
        <v>266</v>
      </c>
      <c r="E83" s="149" t="s">
        <v>267</v>
      </c>
      <c r="F83" s="149" t="s">
        <v>305</v>
      </c>
      <c r="G83" s="149" t="s">
        <v>306</v>
      </c>
      <c r="H83" s="149" t="s">
        <v>307</v>
      </c>
    </row>
    <row r="84" spans="2:8" ht="16.5" x14ac:dyDescent="0.2">
      <c r="B84" s="150">
        <v>1</v>
      </c>
      <c r="C84" s="151" t="s">
        <v>308</v>
      </c>
      <c r="D84" s="152" t="s">
        <v>274</v>
      </c>
      <c r="E84" s="153"/>
      <c r="F84" s="150">
        <v>2</v>
      </c>
      <c r="G84" s="178">
        <f t="shared" ref="G84:G89" si="9">F84*E84</f>
        <v>0</v>
      </c>
      <c r="H84" s="178">
        <f t="shared" ref="H84:H89" si="10">ROUND(G84/12,2)</f>
        <v>0</v>
      </c>
    </row>
    <row r="85" spans="2:8" ht="16.5" x14ac:dyDescent="0.2">
      <c r="B85" s="158">
        <v>2</v>
      </c>
      <c r="C85" s="179" t="s">
        <v>309</v>
      </c>
      <c r="D85" s="180" t="s">
        <v>274</v>
      </c>
      <c r="E85" s="181"/>
      <c r="F85" s="158">
        <v>2</v>
      </c>
      <c r="G85" s="182">
        <f t="shared" si="9"/>
        <v>0</v>
      </c>
      <c r="H85" s="182">
        <f t="shared" si="10"/>
        <v>0</v>
      </c>
    </row>
    <row r="86" spans="2:8" ht="16.5" x14ac:dyDescent="0.2">
      <c r="B86" s="150">
        <v>3</v>
      </c>
      <c r="C86" s="151" t="s">
        <v>310</v>
      </c>
      <c r="D86" s="152" t="s">
        <v>274</v>
      </c>
      <c r="E86" s="153"/>
      <c r="F86" s="150">
        <v>4</v>
      </c>
      <c r="G86" s="178">
        <f t="shared" si="9"/>
        <v>0</v>
      </c>
      <c r="H86" s="178">
        <f t="shared" si="10"/>
        <v>0</v>
      </c>
    </row>
    <row r="87" spans="2:8" ht="16.5" x14ac:dyDescent="0.2">
      <c r="B87" s="158">
        <v>4</v>
      </c>
      <c r="C87" s="159" t="s">
        <v>311</v>
      </c>
      <c r="D87" s="160" t="s">
        <v>312</v>
      </c>
      <c r="E87" s="181"/>
      <c r="F87" s="158">
        <v>2</v>
      </c>
      <c r="G87" s="182">
        <f t="shared" si="9"/>
        <v>0</v>
      </c>
      <c r="H87" s="182">
        <f t="shared" si="10"/>
        <v>0</v>
      </c>
    </row>
    <row r="88" spans="2:8" ht="16.5" x14ac:dyDescent="0.2">
      <c r="B88" s="150">
        <v>5</v>
      </c>
      <c r="C88" s="151" t="s">
        <v>313</v>
      </c>
      <c r="D88" s="152" t="s">
        <v>274</v>
      </c>
      <c r="E88" s="153"/>
      <c r="F88" s="150">
        <v>4</v>
      </c>
      <c r="G88" s="178">
        <f t="shared" si="9"/>
        <v>0</v>
      </c>
      <c r="H88" s="178">
        <f t="shared" si="10"/>
        <v>0</v>
      </c>
    </row>
    <row r="89" spans="2:8" ht="16.5" x14ac:dyDescent="0.2">
      <c r="B89" s="158">
        <v>6</v>
      </c>
      <c r="C89" s="159" t="s">
        <v>314</v>
      </c>
      <c r="D89" s="160" t="s">
        <v>312</v>
      </c>
      <c r="E89" s="181"/>
      <c r="F89" s="158">
        <v>1</v>
      </c>
      <c r="G89" s="182">
        <f t="shared" si="9"/>
        <v>0</v>
      </c>
      <c r="H89" s="182">
        <f t="shared" si="10"/>
        <v>0</v>
      </c>
    </row>
    <row r="90" spans="2:8" ht="16.5" x14ac:dyDescent="0.3">
      <c r="B90" s="270" t="s">
        <v>315</v>
      </c>
      <c r="C90" s="270"/>
      <c r="D90" s="270"/>
      <c r="E90" s="270"/>
      <c r="F90" s="270"/>
      <c r="G90" s="270"/>
      <c r="H90" s="168">
        <f>SUM(H84:H89)</f>
        <v>0</v>
      </c>
    </row>
    <row r="92" spans="2:8" ht="16.5" x14ac:dyDescent="0.2">
      <c r="B92" s="267" t="s">
        <v>302</v>
      </c>
      <c r="C92" s="267"/>
      <c r="D92" s="267"/>
      <c r="E92" s="267"/>
      <c r="F92" s="267"/>
      <c r="G92" s="267"/>
      <c r="H92" s="267"/>
    </row>
    <row r="93" spans="2:8" ht="16.5" x14ac:dyDescent="0.3">
      <c r="B93" s="268" t="s">
        <v>316</v>
      </c>
      <c r="C93" s="268"/>
      <c r="D93" s="268"/>
      <c r="E93" s="268"/>
      <c r="F93" s="268"/>
      <c r="G93" s="268"/>
      <c r="H93" s="268"/>
    </row>
    <row r="94" spans="2:8" ht="49.5" x14ac:dyDescent="0.2">
      <c r="B94" s="149" t="s">
        <v>31</v>
      </c>
      <c r="C94" s="149" t="s">
        <v>304</v>
      </c>
      <c r="D94" s="149" t="s">
        <v>266</v>
      </c>
      <c r="E94" s="149" t="s">
        <v>267</v>
      </c>
      <c r="F94" s="149" t="s">
        <v>305</v>
      </c>
      <c r="G94" s="149" t="s">
        <v>306</v>
      </c>
      <c r="H94" s="149" t="s">
        <v>307</v>
      </c>
    </row>
    <row r="95" spans="2:8" ht="16.5" x14ac:dyDescent="0.2">
      <c r="B95" s="150">
        <v>1</v>
      </c>
      <c r="C95" s="151" t="s">
        <v>317</v>
      </c>
      <c r="D95" s="152" t="s">
        <v>274</v>
      </c>
      <c r="E95" s="153"/>
      <c r="F95" s="150">
        <v>2</v>
      </c>
      <c r="G95" s="178">
        <f>E95*F95</f>
        <v>0</v>
      </c>
      <c r="H95" s="178">
        <f>ROUND(G95/12,2)</f>
        <v>0</v>
      </c>
    </row>
    <row r="96" spans="2:8" ht="16.5" x14ac:dyDescent="0.2">
      <c r="B96" s="158">
        <v>2</v>
      </c>
      <c r="C96" s="179" t="s">
        <v>318</v>
      </c>
      <c r="D96" s="180" t="s">
        <v>274</v>
      </c>
      <c r="E96" s="181"/>
      <c r="F96" s="158">
        <v>2</v>
      </c>
      <c r="G96" s="182">
        <f t="shared" ref="G96:G98" si="11">E96*F96</f>
        <v>0</v>
      </c>
      <c r="H96" s="182">
        <f>ROUND(G96/12,2)</f>
        <v>0</v>
      </c>
    </row>
    <row r="97" spans="2:8" ht="16.5" x14ac:dyDescent="0.2">
      <c r="B97" s="150">
        <v>3</v>
      </c>
      <c r="C97" s="151" t="s">
        <v>319</v>
      </c>
      <c r="D97" s="152" t="s">
        <v>274</v>
      </c>
      <c r="E97" s="153"/>
      <c r="F97" s="150">
        <v>4</v>
      </c>
      <c r="G97" s="178">
        <f t="shared" si="11"/>
        <v>0</v>
      </c>
      <c r="H97" s="178">
        <f>ROUND(G97/12,2)</f>
        <v>0</v>
      </c>
    </row>
    <row r="98" spans="2:8" ht="16.5" x14ac:dyDescent="0.2">
      <c r="B98" s="158">
        <v>4</v>
      </c>
      <c r="C98" s="159" t="s">
        <v>311</v>
      </c>
      <c r="D98" s="160" t="s">
        <v>312</v>
      </c>
      <c r="E98" s="181"/>
      <c r="F98" s="158">
        <v>2</v>
      </c>
      <c r="G98" s="182">
        <f t="shared" si="11"/>
        <v>0</v>
      </c>
      <c r="H98" s="182">
        <f>ROUND(G98/12,2)</f>
        <v>0</v>
      </c>
    </row>
    <row r="99" spans="2:8" ht="16.5" x14ac:dyDescent="0.3">
      <c r="B99" s="270" t="s">
        <v>315</v>
      </c>
      <c r="C99" s="270"/>
      <c r="D99" s="270"/>
      <c r="E99" s="270"/>
      <c r="F99" s="270"/>
      <c r="G99" s="270"/>
      <c r="H99" s="169">
        <f>SUM(H95:H98)</f>
        <v>0</v>
      </c>
    </row>
    <row r="100" spans="2:8" ht="16.5" x14ac:dyDescent="0.3">
      <c r="B100" s="271" t="s">
        <v>320</v>
      </c>
      <c r="C100" s="271"/>
      <c r="D100" s="271"/>
      <c r="E100" s="271"/>
      <c r="F100" s="271"/>
      <c r="G100" s="271"/>
      <c r="H100" s="183">
        <f>ROUND(AVERAGE(H90,H99),2)</f>
        <v>0</v>
      </c>
    </row>
  </sheetData>
  <mergeCells count="39">
    <mergeCell ref="B93:H93"/>
    <mergeCell ref="B99:G99"/>
    <mergeCell ref="B100:G100"/>
    <mergeCell ref="B79:I79"/>
    <mergeCell ref="B80:H80"/>
    <mergeCell ref="B81:H81"/>
    <mergeCell ref="B82:H82"/>
    <mergeCell ref="B90:G90"/>
    <mergeCell ref="B92:H92"/>
    <mergeCell ref="B78:I78"/>
    <mergeCell ref="C54:I54"/>
    <mergeCell ref="B55:I55"/>
    <mergeCell ref="B56:I56"/>
    <mergeCell ref="B57:J57"/>
    <mergeCell ref="B58:H58"/>
    <mergeCell ref="C68:I68"/>
    <mergeCell ref="B69:I69"/>
    <mergeCell ref="B70:I70"/>
    <mergeCell ref="B72:J72"/>
    <mergeCell ref="B73:H73"/>
    <mergeCell ref="C77:I77"/>
    <mergeCell ref="B50:H50"/>
    <mergeCell ref="B18:J18"/>
    <mergeCell ref="B19:H19"/>
    <mergeCell ref="C31:I31"/>
    <mergeCell ref="B32:I32"/>
    <mergeCell ref="B33:I33"/>
    <mergeCell ref="B34:J34"/>
    <mergeCell ref="B35:H35"/>
    <mergeCell ref="C46:I46"/>
    <mergeCell ref="B47:I47"/>
    <mergeCell ref="B48:I48"/>
    <mergeCell ref="B49:J49"/>
    <mergeCell ref="B17:I17"/>
    <mergeCell ref="B1:J1"/>
    <mergeCell ref="B2:J2"/>
    <mergeCell ref="B3:H3"/>
    <mergeCell ref="C15:I15"/>
    <mergeCell ref="B16:I1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F44"/>
  <sheetViews>
    <sheetView topLeftCell="A3" workbookViewId="0">
      <selection activeCell="F29" sqref="F29:F36"/>
    </sheetView>
  </sheetViews>
  <sheetFormatPr defaultRowHeight="16.5" x14ac:dyDescent="0.3"/>
  <cols>
    <col min="1" max="1" width="2.7109375" style="17" customWidth="1"/>
    <col min="2" max="2" width="8.85546875" style="17" customWidth="1"/>
    <col min="3" max="3" width="52.5703125" style="23" customWidth="1"/>
    <col min="4" max="4" width="7.85546875" style="23" customWidth="1"/>
    <col min="5" max="5" width="13.5703125" style="23" customWidth="1"/>
    <col min="6" max="6" width="15.42578125" style="23" bestFit="1" customWidth="1"/>
    <col min="7" max="16384" width="9.140625" style="17"/>
  </cols>
  <sheetData>
    <row r="1" spans="1:6" s="96" customFormat="1" ht="25.5" x14ac:dyDescent="0.5">
      <c r="B1" s="104" t="s">
        <v>221</v>
      </c>
      <c r="C1" s="17"/>
      <c r="D1" s="17"/>
      <c r="E1" s="17"/>
      <c r="F1" s="17"/>
    </row>
    <row r="2" spans="1:6" x14ac:dyDescent="0.3">
      <c r="B2" s="54" t="s">
        <v>8</v>
      </c>
      <c r="E2" s="18"/>
      <c r="F2" s="18"/>
    </row>
    <row r="3" spans="1:6" ht="33" x14ac:dyDescent="0.3">
      <c r="B3" s="1">
        <v>1</v>
      </c>
      <c r="C3" s="261" t="s">
        <v>9</v>
      </c>
      <c r="D3" s="261"/>
      <c r="E3" s="261"/>
      <c r="F3" s="5" t="s">
        <v>239</v>
      </c>
    </row>
    <row r="4" spans="1:6" x14ac:dyDescent="0.3">
      <c r="B4" s="1" t="s">
        <v>2</v>
      </c>
      <c r="C4" s="207" t="s">
        <v>126</v>
      </c>
      <c r="D4" s="208"/>
      <c r="E4" s="209"/>
      <c r="F4" s="184">
        <v>220</v>
      </c>
    </row>
    <row r="5" spans="1:6" x14ac:dyDescent="0.3">
      <c r="B5" s="1" t="s">
        <v>3</v>
      </c>
      <c r="C5" s="210" t="s">
        <v>121</v>
      </c>
      <c r="D5" s="210"/>
      <c r="E5" s="210"/>
      <c r="F5" s="184">
        <v>7</v>
      </c>
    </row>
    <row r="6" spans="1:6" x14ac:dyDescent="0.3">
      <c r="B6" s="1" t="s">
        <v>4</v>
      </c>
      <c r="C6" s="207" t="s">
        <v>120</v>
      </c>
      <c r="D6" s="208"/>
      <c r="E6" s="209"/>
      <c r="F6" s="184">
        <v>365</v>
      </c>
    </row>
    <row r="7" spans="1:6" x14ac:dyDescent="0.3">
      <c r="B7" s="1" t="s">
        <v>5</v>
      </c>
      <c r="C7" s="210" t="s">
        <v>145</v>
      </c>
      <c r="D7" s="210"/>
      <c r="E7" s="210"/>
      <c r="F7" s="185">
        <v>15.2</v>
      </c>
    </row>
    <row r="8" spans="1:6" x14ac:dyDescent="0.3">
      <c r="B8" s="1" t="s">
        <v>6</v>
      </c>
      <c r="C8" s="207" t="s">
        <v>127</v>
      </c>
      <c r="D8" s="208"/>
      <c r="E8" s="209"/>
      <c r="F8" s="184">
        <v>12</v>
      </c>
    </row>
    <row r="9" spans="1:6" x14ac:dyDescent="0.3">
      <c r="B9" s="1" t="s">
        <v>7</v>
      </c>
      <c r="C9" s="210" t="s">
        <v>122</v>
      </c>
      <c r="D9" s="210"/>
      <c r="E9" s="210"/>
      <c r="F9" s="184">
        <v>60</v>
      </c>
    </row>
    <row r="10" spans="1:6" s="21" customFormat="1" x14ac:dyDescent="0.3">
      <c r="A10" s="17"/>
      <c r="B10" s="1" t="s">
        <v>10</v>
      </c>
      <c r="C10" s="207" t="s">
        <v>123</v>
      </c>
      <c r="D10" s="208"/>
      <c r="E10" s="209"/>
      <c r="F10" s="185">
        <v>52.5</v>
      </c>
    </row>
    <row r="11" spans="1:6" s="105" customFormat="1" x14ac:dyDescent="0.3"/>
    <row r="12" spans="1:6" s="105" customFormat="1" x14ac:dyDescent="0.3">
      <c r="A12" s="17"/>
      <c r="B12" s="54" t="s">
        <v>73</v>
      </c>
      <c r="C12" s="97"/>
      <c r="D12" s="97"/>
      <c r="E12" s="97"/>
      <c r="F12" s="97"/>
    </row>
    <row r="13" spans="1:6" s="105" customFormat="1" ht="15" customHeight="1" x14ac:dyDescent="0.3">
      <c r="A13" s="17"/>
      <c r="B13" s="1" t="s">
        <v>93</v>
      </c>
      <c r="C13" s="203" t="s">
        <v>14</v>
      </c>
      <c r="D13" s="204"/>
      <c r="E13" s="5" t="s">
        <v>40</v>
      </c>
      <c r="F13" s="5" t="s">
        <v>240</v>
      </c>
    </row>
    <row r="14" spans="1:6" s="105" customFormat="1" x14ac:dyDescent="0.3">
      <c r="B14" s="130" t="s">
        <v>2</v>
      </c>
      <c r="C14" s="202" t="s">
        <v>146</v>
      </c>
      <c r="D14" s="202"/>
      <c r="E14" s="131" t="s">
        <v>144</v>
      </c>
      <c r="F14" s="186">
        <v>6</v>
      </c>
    </row>
    <row r="15" spans="1:6" s="105" customFormat="1" x14ac:dyDescent="0.3">
      <c r="B15" s="130" t="s">
        <v>3</v>
      </c>
      <c r="C15" s="257" t="s">
        <v>147</v>
      </c>
      <c r="D15" s="257"/>
      <c r="E15" s="132" t="s">
        <v>144</v>
      </c>
      <c r="F15" s="186">
        <v>15</v>
      </c>
    </row>
    <row r="16" spans="1:6" s="105" customFormat="1" x14ac:dyDescent="0.3">
      <c r="B16" s="130" t="s">
        <v>4</v>
      </c>
      <c r="C16" s="202" t="s">
        <v>148</v>
      </c>
      <c r="D16" s="202"/>
      <c r="E16" s="131" t="s">
        <v>144</v>
      </c>
      <c r="F16" s="186">
        <v>22</v>
      </c>
    </row>
    <row r="17" spans="1:6" s="105" customFormat="1" x14ac:dyDescent="0.3"/>
    <row r="18" spans="1:6" s="96" customFormat="1" x14ac:dyDescent="0.3">
      <c r="A18" s="105"/>
      <c r="B18" s="54" t="s">
        <v>74</v>
      </c>
      <c r="C18" s="16"/>
      <c r="D18" s="26"/>
      <c r="E18" s="24"/>
      <c r="F18" s="24"/>
    </row>
    <row r="19" spans="1:6" s="96" customFormat="1" x14ac:dyDescent="0.3">
      <c r="A19" s="105"/>
      <c r="B19" s="1">
        <v>3</v>
      </c>
      <c r="C19" s="220" t="s">
        <v>50</v>
      </c>
      <c r="D19" s="221"/>
      <c r="E19" s="222"/>
      <c r="F19" s="5" t="s">
        <v>240</v>
      </c>
    </row>
    <row r="20" spans="1:6" s="96" customFormat="1" x14ac:dyDescent="0.3">
      <c r="A20" s="105"/>
      <c r="B20" s="1" t="s">
        <v>2</v>
      </c>
      <c r="C20" s="228" t="s">
        <v>223</v>
      </c>
      <c r="D20" s="229"/>
      <c r="E20" s="230"/>
      <c r="F20" s="187">
        <v>62.93</v>
      </c>
    </row>
    <row r="21" spans="1:6" x14ac:dyDescent="0.3">
      <c r="A21" s="105"/>
      <c r="B21" s="2" t="s">
        <v>3</v>
      </c>
      <c r="C21" s="272" t="s">
        <v>129</v>
      </c>
      <c r="D21" s="273"/>
      <c r="E21" s="274"/>
      <c r="F21" s="187">
        <v>5.55</v>
      </c>
    </row>
    <row r="22" spans="1:6" s="96" customFormat="1" ht="15.95" customHeight="1" x14ac:dyDescent="0.15">
      <c r="B22" s="2" t="s">
        <v>4</v>
      </c>
      <c r="C22" s="228" t="s">
        <v>130</v>
      </c>
      <c r="D22" s="229"/>
      <c r="E22" s="230"/>
      <c r="F22" s="186">
        <v>40</v>
      </c>
    </row>
    <row r="23" spans="1:6" ht="16.5" customHeight="1" x14ac:dyDescent="0.3">
      <c r="A23" s="105"/>
      <c r="B23" s="2" t="s">
        <v>5</v>
      </c>
      <c r="C23" s="272" t="s">
        <v>131</v>
      </c>
      <c r="D23" s="273"/>
      <c r="E23" s="274"/>
      <c r="F23" s="187">
        <v>94.45</v>
      </c>
    </row>
    <row r="24" spans="1:6" x14ac:dyDescent="0.3">
      <c r="A24" s="105"/>
      <c r="B24" s="2" t="s">
        <v>6</v>
      </c>
      <c r="C24" s="228" t="s">
        <v>142</v>
      </c>
      <c r="D24" s="229"/>
      <c r="E24" s="230"/>
      <c r="F24" s="186">
        <v>30</v>
      </c>
    </row>
    <row r="25" spans="1:6" s="105" customFormat="1" x14ac:dyDescent="0.3"/>
    <row r="26" spans="1:6" s="96" customFormat="1" x14ac:dyDescent="0.3">
      <c r="B26" s="54" t="s">
        <v>75</v>
      </c>
      <c r="C26" s="16"/>
      <c r="D26" s="26"/>
      <c r="E26" s="17"/>
      <c r="F26" s="17"/>
    </row>
    <row r="27" spans="1:6" s="96" customFormat="1" ht="15" customHeight="1" x14ac:dyDescent="0.3">
      <c r="B27" s="54" t="s">
        <v>104</v>
      </c>
      <c r="C27" s="16"/>
      <c r="D27" s="26"/>
      <c r="E27" s="24"/>
      <c r="F27" s="24"/>
    </row>
    <row r="28" spans="1:6" s="96" customFormat="1" x14ac:dyDescent="0.15">
      <c r="B28" s="1" t="s">
        <v>20</v>
      </c>
      <c r="C28" s="213" t="s">
        <v>105</v>
      </c>
      <c r="D28" s="214"/>
      <c r="E28" s="215"/>
      <c r="F28" s="5" t="s">
        <v>240</v>
      </c>
    </row>
    <row r="29" spans="1:6" s="96" customFormat="1" x14ac:dyDescent="0.15">
      <c r="B29" s="1" t="s">
        <v>2</v>
      </c>
      <c r="C29" s="228" t="s">
        <v>132</v>
      </c>
      <c r="D29" s="229"/>
      <c r="E29" s="230"/>
      <c r="F29" s="186">
        <v>8</v>
      </c>
    </row>
    <row r="30" spans="1:6" x14ac:dyDescent="0.3">
      <c r="A30" s="96"/>
      <c r="B30" s="2" t="s">
        <v>3</v>
      </c>
      <c r="C30" s="207" t="s">
        <v>133</v>
      </c>
      <c r="D30" s="208"/>
      <c r="E30" s="209"/>
      <c r="F30" s="186">
        <v>20</v>
      </c>
    </row>
    <row r="31" spans="1:6" x14ac:dyDescent="0.3">
      <c r="A31" s="96"/>
      <c r="B31" s="2" t="s">
        <v>4</v>
      </c>
      <c r="C31" s="228" t="s">
        <v>134</v>
      </c>
      <c r="D31" s="229"/>
      <c r="E31" s="230"/>
      <c r="F31" s="187">
        <v>1.42</v>
      </c>
    </row>
    <row r="32" spans="1:6" x14ac:dyDescent="0.3">
      <c r="A32" s="96"/>
      <c r="B32" s="2" t="s">
        <v>5</v>
      </c>
      <c r="C32" s="207" t="s">
        <v>135</v>
      </c>
      <c r="D32" s="208"/>
      <c r="E32" s="209"/>
      <c r="F32" s="187">
        <v>86.46</v>
      </c>
    </row>
    <row r="33" spans="1:6" s="96" customFormat="1" ht="15.95" customHeight="1" x14ac:dyDescent="0.3">
      <c r="A33" s="17"/>
      <c r="B33" s="2" t="s">
        <v>6</v>
      </c>
      <c r="C33" s="228" t="s">
        <v>137</v>
      </c>
      <c r="D33" s="229"/>
      <c r="E33" s="230"/>
      <c r="F33" s="187">
        <f>(154800/34808000)*100</f>
        <v>0.44</v>
      </c>
    </row>
    <row r="34" spans="1:6" ht="15.75" customHeight="1" x14ac:dyDescent="0.3">
      <c r="A34" s="96"/>
      <c r="B34" s="2" t="s">
        <v>7</v>
      </c>
      <c r="C34" s="207" t="s">
        <v>143</v>
      </c>
      <c r="D34" s="208"/>
      <c r="E34" s="209"/>
      <c r="F34" s="186">
        <v>15</v>
      </c>
    </row>
    <row r="35" spans="1:6" ht="15.75" customHeight="1" x14ac:dyDescent="0.3">
      <c r="A35" s="96"/>
      <c r="B35" s="2" t="s">
        <v>10</v>
      </c>
      <c r="C35" s="228" t="s">
        <v>138</v>
      </c>
      <c r="D35" s="229"/>
      <c r="E35" s="230"/>
      <c r="F35" s="186">
        <v>180</v>
      </c>
    </row>
    <row r="36" spans="1:6" x14ac:dyDescent="0.3">
      <c r="A36" s="96"/>
      <c r="B36" s="2" t="s">
        <v>11</v>
      </c>
      <c r="C36" s="207" t="s">
        <v>139</v>
      </c>
      <c r="D36" s="208"/>
      <c r="E36" s="209"/>
      <c r="F36" s="187">
        <v>13.54</v>
      </c>
    </row>
    <row r="37" spans="1:6" s="105" customFormat="1" ht="8.25" customHeight="1" x14ac:dyDescent="0.3"/>
    <row r="38" spans="1:6" x14ac:dyDescent="0.3">
      <c r="B38" s="54" t="s">
        <v>76</v>
      </c>
      <c r="C38" s="16"/>
      <c r="D38" s="26"/>
      <c r="E38" s="24"/>
      <c r="F38" s="24"/>
    </row>
    <row r="39" spans="1:6" x14ac:dyDescent="0.3">
      <c r="B39" s="1" t="s">
        <v>21</v>
      </c>
      <c r="C39" s="216" t="s">
        <v>77</v>
      </c>
      <c r="D39" s="216"/>
      <c r="E39" s="216"/>
      <c r="F39" s="5" t="s">
        <v>241</v>
      </c>
    </row>
    <row r="40" spans="1:6" x14ac:dyDescent="0.3">
      <c r="B40" s="1" t="s">
        <v>2</v>
      </c>
      <c r="C40" s="210" t="s">
        <v>128</v>
      </c>
      <c r="D40" s="210"/>
      <c r="E40" s="210"/>
      <c r="F40" s="78">
        <f>PERC_HORA_EXTRA</f>
        <v>0</v>
      </c>
    </row>
    <row r="41" spans="1:6" ht="15" customHeight="1" x14ac:dyDescent="0.3">
      <c r="B41" s="1" t="s">
        <v>3</v>
      </c>
      <c r="C41" s="207" t="s">
        <v>136</v>
      </c>
      <c r="D41" s="208"/>
      <c r="E41" s="209"/>
      <c r="F41" s="77">
        <f>TEMPO_INTERVALO_REFEICAO</f>
        <v>0</v>
      </c>
    </row>
    <row r="42" spans="1:6" s="105" customFormat="1" x14ac:dyDescent="0.3"/>
    <row r="43" spans="1:6" ht="20.25" x14ac:dyDescent="0.3">
      <c r="B43" s="36" t="s">
        <v>213</v>
      </c>
      <c r="C43" s="37"/>
      <c r="D43" s="37"/>
      <c r="E43" s="37"/>
      <c r="F43" s="38"/>
    </row>
    <row r="44" spans="1:6" ht="33.75" customHeight="1" x14ac:dyDescent="0.3">
      <c r="B44" s="227" t="s">
        <v>234</v>
      </c>
      <c r="C44" s="227"/>
      <c r="D44" s="227"/>
      <c r="E44" s="227"/>
      <c r="F44" s="227"/>
    </row>
  </sheetData>
  <mergeCells count="31">
    <mergeCell ref="C4:E4"/>
    <mergeCell ref="C5:E5"/>
    <mergeCell ref="C6:E6"/>
    <mergeCell ref="C7:E7"/>
    <mergeCell ref="C3:E3"/>
    <mergeCell ref="C14:D14"/>
    <mergeCell ref="C15:D15"/>
    <mergeCell ref="C16:D16"/>
    <mergeCell ref="C13:D13"/>
    <mergeCell ref="C8:E8"/>
    <mergeCell ref="C9:E9"/>
    <mergeCell ref="C10:E10"/>
    <mergeCell ref="C31:E31"/>
    <mergeCell ref="C19:E19"/>
    <mergeCell ref="C20:E20"/>
    <mergeCell ref="C21:E21"/>
    <mergeCell ref="C22:E22"/>
    <mergeCell ref="C23:E23"/>
    <mergeCell ref="C24:E24"/>
    <mergeCell ref="C28:E28"/>
    <mergeCell ref="C29:E29"/>
    <mergeCell ref="C30:E30"/>
    <mergeCell ref="B44:F44"/>
    <mergeCell ref="C39:E39"/>
    <mergeCell ref="C40:E40"/>
    <mergeCell ref="C41:E41"/>
    <mergeCell ref="C32:E32"/>
    <mergeCell ref="C33:E33"/>
    <mergeCell ref="C34:E34"/>
    <mergeCell ref="C35:E35"/>
    <mergeCell ref="C36:E36"/>
  </mergeCells>
  <dataValidations count="2">
    <dataValidation errorStyle="information" allowBlank="1" showInputMessage="1" showErrorMessage="1" promptTitle="Intervalo Intrajornada" prompt="Segundo estudos da Audin-MPU, esse item não é usual nas planilhas do MPU. Verifique se realmente há necessidade de incluí-lo." sqref="F40" xr:uid="{00000000-0002-0000-0100-000000000000}"/>
    <dataValidation allowBlank="1" showInputMessage="1" showErrorMessage="1" promptTitle="Intervalo Intrajornada" prompt="Segundo estudos da Audin-MPU, esse item não é usual nas planilhas do MPU. Verifique se realmente há necessidade de incluí-lo." sqref="F41" xr:uid="{00000000-0002-0000-0100-000001000000}"/>
  </dataValidation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34"/>
  <sheetViews>
    <sheetView workbookViewId="0">
      <selection activeCell="C10" sqref="C10:D10"/>
    </sheetView>
  </sheetViews>
  <sheetFormatPr defaultRowHeight="16.5" x14ac:dyDescent="0.3"/>
  <cols>
    <col min="1" max="1" width="2.7109375" style="17" customWidth="1"/>
    <col min="2" max="2" width="8.85546875" style="17" customWidth="1"/>
    <col min="3" max="3" width="52.5703125" style="23" customWidth="1"/>
    <col min="4" max="4" width="22" style="23" customWidth="1"/>
    <col min="5" max="5" width="7.85546875" style="23" customWidth="1"/>
    <col min="6" max="6" width="46.28515625" style="17" customWidth="1"/>
    <col min="7" max="16384" width="9.140625" style="17"/>
  </cols>
  <sheetData>
    <row r="1" spans="2:6" s="96" customFormat="1" ht="25.5" x14ac:dyDescent="0.5">
      <c r="B1" s="104" t="s">
        <v>222</v>
      </c>
      <c r="C1" s="17"/>
      <c r="D1" s="17"/>
      <c r="E1" s="17"/>
      <c r="F1" s="17"/>
    </row>
    <row r="2" spans="2:6" x14ac:dyDescent="0.3">
      <c r="B2" s="54" t="s">
        <v>67</v>
      </c>
      <c r="E2" s="25"/>
    </row>
    <row r="3" spans="2:6" x14ac:dyDescent="0.3">
      <c r="B3" s="54" t="s">
        <v>112</v>
      </c>
      <c r="C3" s="16"/>
      <c r="D3" s="26"/>
      <c r="E3" s="24"/>
    </row>
    <row r="4" spans="2:6" x14ac:dyDescent="0.3">
      <c r="B4" s="1" t="s">
        <v>68</v>
      </c>
      <c r="C4" s="216" t="s">
        <v>95</v>
      </c>
      <c r="D4" s="216"/>
      <c r="E4" s="5" t="s">
        <v>1</v>
      </c>
      <c r="F4" s="5" t="s">
        <v>224</v>
      </c>
    </row>
    <row r="5" spans="2:6" x14ac:dyDescent="0.3">
      <c r="B5" s="1" t="s">
        <v>2</v>
      </c>
      <c r="C5" s="277" t="s">
        <v>49</v>
      </c>
      <c r="D5" s="277"/>
      <c r="E5" s="62">
        <f>(1/MESES_NO_ANO)*100</f>
        <v>8.33</v>
      </c>
      <c r="F5" s="62" t="s">
        <v>225</v>
      </c>
    </row>
    <row r="6" spans="2:6" s="21" customFormat="1" x14ac:dyDescent="0.3">
      <c r="B6" s="2" t="s">
        <v>3</v>
      </c>
      <c r="C6" s="276" t="s">
        <v>97</v>
      </c>
      <c r="D6" s="276"/>
      <c r="E6" s="41">
        <f>(1/3)/MESES_NO_ANO*100</f>
        <v>2.78</v>
      </c>
      <c r="F6" s="41" t="s">
        <v>226</v>
      </c>
    </row>
    <row r="7" spans="2:6" s="105" customFormat="1" ht="16.5" customHeight="1" x14ac:dyDescent="0.3">
      <c r="B7" s="275" t="s">
        <v>70</v>
      </c>
      <c r="C7" s="275"/>
      <c r="D7" s="275"/>
      <c r="E7" s="275"/>
      <c r="F7" s="275"/>
    </row>
    <row r="8" spans="2:6" s="105" customFormat="1" x14ac:dyDescent="0.3">
      <c r="B8" s="1" t="s">
        <v>71</v>
      </c>
      <c r="C8" s="281" t="s">
        <v>98</v>
      </c>
      <c r="D8" s="281"/>
      <c r="E8" s="5" t="s">
        <v>1</v>
      </c>
    </row>
    <row r="9" spans="2:6" x14ac:dyDescent="0.3">
      <c r="B9" s="1" t="s">
        <v>2</v>
      </c>
      <c r="C9" s="277" t="s">
        <v>43</v>
      </c>
      <c r="D9" s="277"/>
      <c r="E9" s="62">
        <v>20</v>
      </c>
    </row>
    <row r="10" spans="2:6" s="96" customFormat="1" x14ac:dyDescent="0.15">
      <c r="B10" s="2" t="s">
        <v>3</v>
      </c>
      <c r="C10" s="276" t="s">
        <v>45</v>
      </c>
      <c r="D10" s="276"/>
      <c r="E10" s="49">
        <v>2.5</v>
      </c>
    </row>
    <row r="11" spans="2:6" s="96" customFormat="1" x14ac:dyDescent="0.15">
      <c r="B11" s="2" t="s">
        <v>4</v>
      </c>
      <c r="C11" s="277" t="s">
        <v>92</v>
      </c>
      <c r="D11" s="277"/>
      <c r="E11" s="188">
        <v>3</v>
      </c>
    </row>
    <row r="12" spans="2:6" s="96" customFormat="1" x14ac:dyDescent="0.15">
      <c r="B12" s="2" t="s">
        <v>5</v>
      </c>
      <c r="C12" s="276" t="s">
        <v>90</v>
      </c>
      <c r="D12" s="276"/>
      <c r="E12" s="41">
        <v>1.5</v>
      </c>
    </row>
    <row r="13" spans="2:6" s="96" customFormat="1" x14ac:dyDescent="0.15">
      <c r="B13" s="2" t="s">
        <v>6</v>
      </c>
      <c r="C13" s="277" t="s">
        <v>91</v>
      </c>
      <c r="D13" s="277"/>
      <c r="E13" s="62">
        <v>1</v>
      </c>
    </row>
    <row r="14" spans="2:6" s="97" customFormat="1" x14ac:dyDescent="0.15">
      <c r="B14" s="2" t="s">
        <v>7</v>
      </c>
      <c r="C14" s="276" t="s">
        <v>47</v>
      </c>
      <c r="D14" s="276"/>
      <c r="E14" s="49">
        <v>0.6</v>
      </c>
    </row>
    <row r="15" spans="2:6" s="97" customFormat="1" x14ac:dyDescent="0.15">
      <c r="B15" s="2" t="s">
        <v>10</v>
      </c>
      <c r="C15" s="277" t="s">
        <v>44</v>
      </c>
      <c r="D15" s="277"/>
      <c r="E15" s="62">
        <v>0.2</v>
      </c>
    </row>
    <row r="16" spans="2:6" x14ac:dyDescent="0.3">
      <c r="B16" s="2" t="s">
        <v>11</v>
      </c>
      <c r="C16" s="276" t="s">
        <v>46</v>
      </c>
      <c r="D16" s="276"/>
      <c r="E16" s="49">
        <v>8</v>
      </c>
    </row>
    <row r="17" spans="2:6" x14ac:dyDescent="0.3">
      <c r="B17" s="216" t="s">
        <v>48</v>
      </c>
      <c r="C17" s="216"/>
      <c r="D17" s="216"/>
      <c r="E17" s="42">
        <f>SUM(E9:E16)</f>
        <v>36.799999999999997</v>
      </c>
    </row>
    <row r="18" spans="2:6" s="105" customFormat="1" x14ac:dyDescent="0.3">
      <c r="B18" s="54" t="s">
        <v>74</v>
      </c>
      <c r="C18" s="16"/>
      <c r="D18" s="26"/>
      <c r="E18" s="24"/>
    </row>
    <row r="19" spans="2:6" s="105" customFormat="1" x14ac:dyDescent="0.3">
      <c r="B19" s="1">
        <v>3</v>
      </c>
      <c r="C19" s="216" t="s">
        <v>50</v>
      </c>
      <c r="D19" s="216"/>
      <c r="E19" s="5" t="s">
        <v>1</v>
      </c>
      <c r="F19" s="5" t="s">
        <v>224</v>
      </c>
    </row>
    <row r="20" spans="2:6" s="105" customFormat="1" x14ac:dyDescent="0.3">
      <c r="B20" s="1" t="s">
        <v>2</v>
      </c>
      <c r="C20" s="278" t="s">
        <v>51</v>
      </c>
      <c r="D20" s="278"/>
      <c r="E20" s="62">
        <f>PERC_EMPREG_DEMIT_SEM_JUSTA_CAUSA_TOTAL_DESLIG%*PERC_EMPREG_AVISO_PREVIO_IND%*1/MESES_NO_ANO*100</f>
        <v>0.28999999999999998</v>
      </c>
      <c r="F20" s="62" t="s">
        <v>227</v>
      </c>
    </row>
    <row r="21" spans="2:6" s="105" customFormat="1" x14ac:dyDescent="0.3">
      <c r="B21" s="2" t="s">
        <v>3</v>
      </c>
      <c r="C21" s="280" t="s">
        <v>52</v>
      </c>
      <c r="D21" s="280"/>
      <c r="E21" s="49">
        <f>PERC_EMPREG_DEMIT_SEM_JUSTA_CAUSA_TOTAL_DESLIG%*PERC_EMPREG_AVISO_PREVIO_TRAB%*(DIAS_NA_SEMANA/DIAS_NO_MES)/MESES_NO_ANO*100</f>
        <v>1.1599999999999999</v>
      </c>
      <c r="F21" s="41" t="s">
        <v>242</v>
      </c>
    </row>
    <row r="22" spans="2:6" s="96" customFormat="1" ht="16.5" customHeight="1" x14ac:dyDescent="0.15">
      <c r="B22" s="2" t="s">
        <v>4</v>
      </c>
      <c r="C22" s="278" t="s">
        <v>244</v>
      </c>
      <c r="D22" s="278"/>
      <c r="E22" s="62">
        <f>ROUNDUP(PERC_AVISO_PREVIO_TRAB%*(PERC_MULTA_FGTS%)*PERC_FGTS%*100,2)</f>
        <v>0.04</v>
      </c>
      <c r="F22" s="62" t="s">
        <v>243</v>
      </c>
    </row>
    <row r="23" spans="2:6" s="96" customFormat="1" x14ac:dyDescent="0.3">
      <c r="B23" s="54" t="s">
        <v>75</v>
      </c>
      <c r="C23" s="16"/>
      <c r="D23" s="26"/>
      <c r="E23" s="17"/>
    </row>
    <row r="24" spans="2:6" s="96" customFormat="1" x14ac:dyDescent="0.3">
      <c r="B24" s="54" t="s">
        <v>104</v>
      </c>
      <c r="C24" s="16"/>
      <c r="D24" s="26"/>
      <c r="E24" s="24"/>
    </row>
    <row r="25" spans="2:6" s="96" customFormat="1" x14ac:dyDescent="0.15">
      <c r="B25" s="1" t="s">
        <v>20</v>
      </c>
      <c r="C25" s="279" t="s">
        <v>105</v>
      </c>
      <c r="D25" s="279"/>
      <c r="E25" s="5" t="s">
        <v>1</v>
      </c>
      <c r="F25" s="5" t="s">
        <v>224</v>
      </c>
    </row>
    <row r="26" spans="2:6" s="96" customFormat="1" x14ac:dyDescent="0.15">
      <c r="B26" s="2" t="s">
        <v>2</v>
      </c>
      <c r="C26" s="277" t="s">
        <v>106</v>
      </c>
      <c r="D26" s="277"/>
      <c r="E26" s="62">
        <f>(1/MESES_NO_ANO)*100</f>
        <v>8.33</v>
      </c>
      <c r="F26" s="62" t="s">
        <v>228</v>
      </c>
    </row>
    <row r="27" spans="2:6" s="96" customFormat="1" x14ac:dyDescent="0.15">
      <c r="B27" s="2" t="s">
        <v>3</v>
      </c>
      <c r="C27" s="93" t="s">
        <v>107</v>
      </c>
      <c r="D27" s="93"/>
      <c r="E27" s="49">
        <f>(DIAS_AUSENCIAS_LEGAIS/DIAS_NO_MES)/MESES_NO_ANO*100</f>
        <v>2.2200000000000002</v>
      </c>
      <c r="F27" s="41" t="s">
        <v>229</v>
      </c>
    </row>
    <row r="28" spans="2:6" s="96" customFormat="1" x14ac:dyDescent="0.15">
      <c r="B28" s="2" t="s">
        <v>4</v>
      </c>
      <c r="C28" s="277" t="s">
        <v>108</v>
      </c>
      <c r="D28" s="277"/>
      <c r="E28" s="62">
        <f>(((DIAS_LICENCA_PATERNIDADE/DIAS_NO_MES)/MESES_NO_ANO)*PERC_NASCIDOS_VIVOS_POPUL_FEM%*PERC_PARTIC_MASC_VIGIL%)*100</f>
        <v>7.0000000000000007E-2</v>
      </c>
      <c r="F28" s="62" t="s">
        <v>231</v>
      </c>
    </row>
    <row r="29" spans="2:6" s="96" customFormat="1" x14ac:dyDescent="0.15">
      <c r="B29" s="2" t="s">
        <v>5</v>
      </c>
      <c r="C29" s="276" t="s">
        <v>109</v>
      </c>
      <c r="D29" s="276"/>
      <c r="E29" s="49">
        <f>(DIAS_PAGOS_EMPRESA_ACID_TRAB/DIAS_NO_MES)/MESES_NO_ANO*PERC_EMPREG_AFAST_TRAB%*100</f>
        <v>0.02</v>
      </c>
      <c r="F29" s="41" t="s">
        <v>230</v>
      </c>
    </row>
    <row r="30" spans="2:6" s="96" customFormat="1" x14ac:dyDescent="0.15">
      <c r="B30" s="2" t="s">
        <v>6</v>
      </c>
      <c r="C30" s="277" t="s">
        <v>110</v>
      </c>
      <c r="D30" s="277"/>
      <c r="E30" s="62">
        <f>(((DIAS_LICENCA_MATERNIDADE/DIAS_NO_MES)/MESES_NO_ANO)*PERC_NASCIDOS_VIVOS_POPUL_FEM%*PERC_PARTIC_FEM_VIGIL%*PERC_GPS_FGTS%*100)</f>
        <v>0.04</v>
      </c>
      <c r="F30" s="62" t="s">
        <v>232</v>
      </c>
    </row>
    <row r="31" spans="2:6" s="96" customFormat="1" x14ac:dyDescent="0.15">
      <c r="B31" s="2" t="s">
        <v>7</v>
      </c>
      <c r="C31" s="276" t="str">
        <f>OUTRAS_AUSENCIAS_DESCRICAO</f>
        <v>Outras Ausências (Especificar - em %)</v>
      </c>
      <c r="D31" s="276"/>
      <c r="E31" s="49">
        <f>PERC_SUBSTITUTO_OUTRAS_AUSENCIAS</f>
        <v>0</v>
      </c>
      <c r="F31" s="41"/>
    </row>
    <row r="33" spans="2:6" ht="20.25" x14ac:dyDescent="0.3">
      <c r="B33" s="36" t="s">
        <v>213</v>
      </c>
    </row>
    <row r="34" spans="2:6" ht="37.5" customHeight="1" x14ac:dyDescent="0.3">
      <c r="B34" s="227" t="s">
        <v>234</v>
      </c>
      <c r="C34" s="227"/>
      <c r="D34" s="227"/>
      <c r="E34" s="227"/>
      <c r="F34" s="227"/>
    </row>
  </sheetData>
  <mergeCells count="25">
    <mergeCell ref="C13:D13"/>
    <mergeCell ref="C14:D14"/>
    <mergeCell ref="C15:D15"/>
    <mergeCell ref="C19:D19"/>
    <mergeCell ref="C4:D4"/>
    <mergeCell ref="C5:D5"/>
    <mergeCell ref="C6:D6"/>
    <mergeCell ref="C10:D10"/>
    <mergeCell ref="C11:D11"/>
    <mergeCell ref="B34:F34"/>
    <mergeCell ref="B7:F7"/>
    <mergeCell ref="C29:D29"/>
    <mergeCell ref="C30:D30"/>
    <mergeCell ref="C22:D22"/>
    <mergeCell ref="C25:D25"/>
    <mergeCell ref="C26:D26"/>
    <mergeCell ref="C21:D21"/>
    <mergeCell ref="C16:D16"/>
    <mergeCell ref="B17:D17"/>
    <mergeCell ref="C28:D28"/>
    <mergeCell ref="C31:D31"/>
    <mergeCell ref="C8:D8"/>
    <mergeCell ref="C9:D9"/>
    <mergeCell ref="C20:D20"/>
    <mergeCell ref="C12:D12"/>
  </mergeCells>
  <dataValidations count="2">
    <dataValidation type="decimal" allowBlank="1" showInputMessage="1" showErrorMessage="1" errorTitle="Erro na inserção de dados." error="O percentual do Aviso Prévio Indenizado deverá ser inferior a 0,64%, conforme determinou o Tribunal de Contas da União por meio do Acórdão nº 1.904/2007 - Plenário." sqref="E20" xr:uid="{00000000-0002-0000-0200-000000000000}">
      <formula1>0</formula1>
      <formula2>0.46</formula2>
    </dataValidation>
    <dataValidation type="decimal" allowBlank="1" showInputMessage="1" showErrorMessage="1" errorTitle="Erro na inserção de dados." error="O percentual do Aviso Prévio Indenizado deverá ser inferior a 1,94%, conforme determinou o Tribunal de Contas da União por meio do Acórdão nº 1.904/2007 - Plenário." sqref="E21" xr:uid="{00000000-0002-0000-0200-000001000000}">
      <formula1>0</formula1>
      <formula2>1.94</formula2>
    </dataValidation>
  </dataValidations>
  <pageMargins left="0.18" right="0.17" top="0.23" bottom="0.08" header="0.31496062000000002" footer="0.06"/>
  <pageSetup paperSize="9" orientation="landscape" r:id="rId1"/>
  <ignoredErrors>
    <ignoredError sqref="E31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3B4173-E18C-4651-841C-8EF771CAC7EB}">
  <dimension ref="B1:H103"/>
  <sheetViews>
    <sheetView topLeftCell="A45" zoomScaleNormal="100" zoomScaleSheetLayoutView="100" workbookViewId="0">
      <selection activeCell="F103" sqref="F103"/>
    </sheetView>
  </sheetViews>
  <sheetFormatPr defaultRowHeight="16.5" x14ac:dyDescent="0.3"/>
  <cols>
    <col min="1" max="1" width="2.7109375" style="17" customWidth="1"/>
    <col min="2" max="2" width="8.85546875" style="17" customWidth="1"/>
    <col min="3" max="3" width="52.5703125" style="23" customWidth="1"/>
    <col min="4" max="4" width="7.85546875" style="23" customWidth="1"/>
    <col min="5" max="5" width="13.5703125" style="23" customWidth="1"/>
    <col min="6" max="6" width="15.42578125" style="23" bestFit="1" customWidth="1"/>
    <col min="7" max="7" width="9.140625" style="17"/>
    <col min="8" max="8" width="65.28515625" style="17" customWidth="1"/>
    <col min="9" max="10" width="12.5703125" style="17" bestFit="1" customWidth="1"/>
    <col min="11" max="16384" width="9.140625" style="17"/>
  </cols>
  <sheetData>
    <row r="1" spans="2:6" ht="20.25" x14ac:dyDescent="0.35">
      <c r="B1" s="282" t="str">
        <f>RAMO</f>
        <v>RAMO:</v>
      </c>
      <c r="C1" s="283"/>
      <c r="D1" s="283"/>
      <c r="E1" s="283"/>
      <c r="F1" s="284"/>
    </row>
    <row r="2" spans="2:6" ht="20.25" x14ac:dyDescent="0.35">
      <c r="B2" s="285" t="str">
        <f>UG</f>
        <v>UNIDADE GESTORA (SIGLA):</v>
      </c>
      <c r="C2" s="286"/>
      <c r="D2" s="287"/>
      <c r="E2" s="111" t="s">
        <v>59</v>
      </c>
      <c r="F2" s="112" t="str">
        <f>DATA_DO_ORCAMENTO_ESTIMATIVO</f>
        <v>XX/XX/20XX</v>
      </c>
    </row>
    <row r="3" spans="2:6" s="96" customFormat="1" ht="25.5" x14ac:dyDescent="0.5">
      <c r="B3" s="237" t="s">
        <v>56</v>
      </c>
      <c r="C3" s="237"/>
      <c r="D3" s="237"/>
      <c r="E3" s="237"/>
      <c r="F3" s="237"/>
    </row>
    <row r="4" spans="2:6" s="96" customFormat="1" ht="15.95" customHeight="1" x14ac:dyDescent="0.3">
      <c r="B4" s="238" t="s">
        <v>99</v>
      </c>
      <c r="C4" s="238"/>
      <c r="D4" s="238"/>
      <c r="E4" s="238"/>
      <c r="F4" s="238"/>
    </row>
    <row r="5" spans="2:6" s="96" customFormat="1" ht="15.95" customHeight="1" x14ac:dyDescent="0.3">
      <c r="B5" s="246" t="s">
        <v>235</v>
      </c>
      <c r="C5" s="246"/>
      <c r="D5" s="288" t="str">
        <f>NUMERO_PROCESSO</f>
        <v>X.XX.XXX.XXXXXX/20XX-XX</v>
      </c>
      <c r="E5" s="288"/>
      <c r="F5" s="288"/>
    </row>
    <row r="6" spans="2:6" s="96" customFormat="1" ht="15.75" customHeight="1" x14ac:dyDescent="0.3">
      <c r="B6" s="250" t="s">
        <v>236</v>
      </c>
      <c r="C6" s="250"/>
      <c r="D6" s="289" t="str">
        <f>MODALIDADE_DE_LICITACAO</f>
        <v>Pregão nº</v>
      </c>
      <c r="E6" s="289"/>
      <c r="F6" s="116" t="str">
        <f>NUMERO_PREGAO</f>
        <v>XX/20XX</v>
      </c>
    </row>
    <row r="7" spans="2:6" s="97" customFormat="1" ht="15.75" customHeight="1" x14ac:dyDescent="0.3">
      <c r="B7" s="290" t="s">
        <v>60</v>
      </c>
      <c r="C7" s="290"/>
      <c r="D7" s="290"/>
      <c r="E7" s="290"/>
      <c r="F7" s="290"/>
    </row>
    <row r="8" spans="2:6" s="96" customFormat="1" ht="18" customHeight="1" x14ac:dyDescent="0.3">
      <c r="B8" s="29" t="s">
        <v>2</v>
      </c>
      <c r="C8" s="246" t="s">
        <v>65</v>
      </c>
      <c r="D8" s="246"/>
      <c r="E8" s="246"/>
      <c r="F8" s="117" t="str">
        <f>DATA_APRESENTACAO_PROPOSTA</f>
        <v>XX/XX/20XX</v>
      </c>
    </row>
    <row r="9" spans="2:6" s="96" customFormat="1" ht="15.95" customHeight="1" x14ac:dyDescent="0.15">
      <c r="B9" s="1" t="s">
        <v>3</v>
      </c>
      <c r="C9" s="70" t="s">
        <v>38</v>
      </c>
      <c r="D9" s="291" t="str">
        <f>IF(LOCAL_DE_EXECUCAO="","",LOCAL_DE_EXECUCAO)</f>
        <v/>
      </c>
      <c r="E9" s="291"/>
      <c r="F9" s="291"/>
    </row>
    <row r="10" spans="2:6" s="96" customFormat="1" ht="18.75" customHeight="1" x14ac:dyDescent="0.3">
      <c r="B10" s="29" t="s">
        <v>4</v>
      </c>
      <c r="C10" s="246" t="s">
        <v>39</v>
      </c>
      <c r="D10" s="246"/>
      <c r="E10" s="246"/>
      <c r="F10" s="118" t="str">
        <f>ACORDO_COLETIVO</f>
        <v>XX/20XX</v>
      </c>
    </row>
    <row r="11" spans="2:6" s="96" customFormat="1" ht="15.95" customHeight="1" x14ac:dyDescent="0.3">
      <c r="B11" s="1" t="s">
        <v>5</v>
      </c>
      <c r="C11" s="291" t="s">
        <v>66</v>
      </c>
      <c r="D11" s="291"/>
      <c r="E11" s="291"/>
      <c r="F11" s="119">
        <f>NUMERO_MESES_EXEC_CONTRATUAL</f>
        <v>12</v>
      </c>
    </row>
    <row r="12" spans="2:6" s="96" customFormat="1" x14ac:dyDescent="0.3">
      <c r="B12" s="1" t="s">
        <v>6</v>
      </c>
      <c r="C12" s="292" t="s">
        <v>87</v>
      </c>
      <c r="D12" s="292"/>
      <c r="E12" s="292"/>
      <c r="F12" s="100">
        <f>IF(QTDE_DE_POSTOS_12X36_VIG_DIU=0,"",QTDE_DE_POSTOS_12X36_VIG_DIU)</f>
        <v>40</v>
      </c>
    </row>
    <row r="13" spans="2:6" s="96" customFormat="1" ht="7.5" customHeight="1" x14ac:dyDescent="0.3">
      <c r="B13" s="120"/>
      <c r="C13" s="121"/>
      <c r="D13" s="121"/>
      <c r="E13" s="121"/>
      <c r="F13" s="102"/>
    </row>
    <row r="14" spans="2:6" s="96" customFormat="1" ht="21" customHeight="1" x14ac:dyDescent="0.5">
      <c r="B14" s="104" t="s">
        <v>216</v>
      </c>
      <c r="C14" s="17"/>
      <c r="D14" s="17"/>
      <c r="E14" s="17"/>
      <c r="F14" s="17"/>
    </row>
    <row r="15" spans="2:6" s="96" customFormat="1" x14ac:dyDescent="0.3">
      <c r="B15" s="29">
        <v>1</v>
      </c>
      <c r="C15" s="202" t="s">
        <v>62</v>
      </c>
      <c r="D15" s="202"/>
      <c r="E15" s="239" t="str">
        <f>TIPO_DE_SERVICO</f>
        <v>Vigilância</v>
      </c>
      <c r="F15" s="239"/>
    </row>
    <row r="16" spans="2:6" s="97" customFormat="1" x14ac:dyDescent="0.3">
      <c r="B16" s="29">
        <v>2</v>
      </c>
      <c r="C16" s="31" t="s">
        <v>61</v>
      </c>
      <c r="D16" s="293">
        <f>CBO_VIGI</f>
        <v>0</v>
      </c>
      <c r="E16" s="293"/>
      <c r="F16" s="293"/>
    </row>
    <row r="17" spans="2:6" s="96" customFormat="1" ht="15" customHeight="1" x14ac:dyDescent="0.3">
      <c r="B17" s="29">
        <v>3</v>
      </c>
      <c r="C17" s="59" t="s">
        <v>63</v>
      </c>
      <c r="D17" s="239">
        <f>CATEGORIA_PROFISSIONAL</f>
        <v>0</v>
      </c>
      <c r="E17" s="239"/>
      <c r="F17" s="239"/>
    </row>
    <row r="18" spans="2:6" s="96" customFormat="1" ht="15" customHeight="1" x14ac:dyDescent="0.3">
      <c r="B18" s="29">
        <v>4</v>
      </c>
      <c r="C18" s="257" t="s">
        <v>64</v>
      </c>
      <c r="D18" s="257"/>
      <c r="E18" s="257"/>
      <c r="F18" s="133" t="str">
        <f>DATA_BASE_CATEGORIA</f>
        <v>XX/XX/20XX</v>
      </c>
    </row>
    <row r="19" spans="2:6" s="96" customFormat="1" ht="15" customHeight="1" x14ac:dyDescent="0.3">
      <c r="B19" s="32"/>
      <c r="C19" s="33"/>
      <c r="D19" s="33"/>
      <c r="E19" s="33"/>
      <c r="F19" s="103"/>
    </row>
    <row r="20" spans="2:6" s="122" customFormat="1" ht="30" customHeight="1" x14ac:dyDescent="0.3">
      <c r="B20" s="296" t="s">
        <v>42</v>
      </c>
      <c r="C20" s="296"/>
      <c r="D20" s="296"/>
      <c r="E20" s="296"/>
      <c r="F20" s="296"/>
    </row>
    <row r="21" spans="2:6" x14ac:dyDescent="0.3">
      <c r="B21" s="216" t="s">
        <v>54</v>
      </c>
      <c r="C21" s="216"/>
      <c r="D21" s="216"/>
      <c r="E21" s="216"/>
      <c r="F21" s="115">
        <v>2</v>
      </c>
    </row>
    <row r="22" spans="2:6" x14ac:dyDescent="0.3">
      <c r="B22" s="54" t="s">
        <v>8</v>
      </c>
      <c r="E22" s="18"/>
      <c r="F22" s="18"/>
    </row>
    <row r="23" spans="2:6" x14ac:dyDescent="0.3">
      <c r="B23" s="1">
        <v>1</v>
      </c>
      <c r="C23" s="203" t="s">
        <v>9</v>
      </c>
      <c r="D23" s="297"/>
      <c r="E23" s="204"/>
      <c r="F23" s="5" t="s">
        <v>13</v>
      </c>
    </row>
    <row r="24" spans="2:6" x14ac:dyDescent="0.3">
      <c r="B24" s="1" t="s">
        <v>2</v>
      </c>
      <c r="C24" s="294" t="s">
        <v>94</v>
      </c>
      <c r="D24" s="295"/>
      <c r="E24" s="298"/>
      <c r="F24" s="60">
        <f>SALARIO_BASE_VIGI</f>
        <v>0</v>
      </c>
    </row>
    <row r="25" spans="2:6" x14ac:dyDescent="0.3">
      <c r="B25" s="1" t="s">
        <v>3</v>
      </c>
      <c r="C25" s="207" t="s">
        <v>96</v>
      </c>
      <c r="D25" s="208"/>
      <c r="E25" s="209"/>
      <c r="F25" s="14">
        <f>PERC_ADIC_PERIC%*SALARIO_BASE_VIGI</f>
        <v>0</v>
      </c>
    </row>
    <row r="26" spans="2:6" x14ac:dyDescent="0.3">
      <c r="B26" s="1" t="s">
        <v>4</v>
      </c>
      <c r="C26" s="294" t="str">
        <f>OUTROS_REMUNERACAO_1_DESCRICAO</f>
        <v>Outras Remunerações 1 (Especificar)</v>
      </c>
      <c r="D26" s="295"/>
      <c r="E26" s="298"/>
      <c r="F26" s="60">
        <f>OUTROS_REMUNERACAO_1</f>
        <v>0</v>
      </c>
    </row>
    <row r="27" spans="2:6" x14ac:dyDescent="0.3">
      <c r="B27" s="1" t="s">
        <v>5</v>
      </c>
      <c r="C27" s="299" t="str">
        <f>OUTROS_REMUNERACAO_2_DESCRICAO</f>
        <v>Outras Remunerações 2 (Especificar)</v>
      </c>
      <c r="D27" s="300"/>
      <c r="E27" s="301"/>
      <c r="F27" s="14">
        <f>OUTROS_REMUNERACAO_2</f>
        <v>0</v>
      </c>
    </row>
    <row r="28" spans="2:6" x14ac:dyDescent="0.3">
      <c r="B28" s="1" t="s">
        <v>6</v>
      </c>
      <c r="C28" s="294" t="str">
        <f>OUTROS_REMUNERACAO_3_DESCRICAO</f>
        <v>Outras Remunerações 3 (Especificar)</v>
      </c>
      <c r="D28" s="295"/>
      <c r="E28" s="298"/>
      <c r="F28" s="60">
        <f>OUTROS_REMUNERACAO_3</f>
        <v>0</v>
      </c>
    </row>
    <row r="29" spans="2:6" x14ac:dyDescent="0.3">
      <c r="B29" s="220" t="s">
        <v>48</v>
      </c>
      <c r="C29" s="221"/>
      <c r="D29" s="221"/>
      <c r="E29" s="222"/>
      <c r="F29" s="43">
        <f>SUM(F24:F28)</f>
        <v>0</v>
      </c>
    </row>
    <row r="30" spans="2:6" x14ac:dyDescent="0.3">
      <c r="B30" s="54" t="s">
        <v>67</v>
      </c>
      <c r="E30" s="25"/>
      <c r="F30" s="25"/>
    </row>
    <row r="31" spans="2:6" x14ac:dyDescent="0.3">
      <c r="B31" s="54" t="s">
        <v>112</v>
      </c>
      <c r="C31" s="16"/>
      <c r="D31" s="26"/>
      <c r="E31" s="24"/>
      <c r="F31" s="24"/>
    </row>
    <row r="32" spans="2:6" x14ac:dyDescent="0.3">
      <c r="B32" s="1" t="s">
        <v>68</v>
      </c>
      <c r="C32" s="220" t="s">
        <v>95</v>
      </c>
      <c r="D32" s="222"/>
      <c r="E32" s="5" t="s">
        <v>1</v>
      </c>
      <c r="F32" s="5" t="s">
        <v>13</v>
      </c>
    </row>
    <row r="33" spans="2:8" x14ac:dyDescent="0.3">
      <c r="B33" s="1" t="s">
        <v>2</v>
      </c>
      <c r="C33" s="294" t="s">
        <v>49</v>
      </c>
      <c r="D33" s="295"/>
      <c r="E33" s="62">
        <f>PERC_DEC_TERC</f>
        <v>8.33</v>
      </c>
      <c r="F33" s="61">
        <f>PERC_DEC_TERC%*MOD_1_REMUNERACAO_12X36_DIU</f>
        <v>0</v>
      </c>
    </row>
    <row r="34" spans="2:8" s="21" customFormat="1" x14ac:dyDescent="0.3">
      <c r="B34" s="2" t="s">
        <v>3</v>
      </c>
      <c r="C34" s="207" t="s">
        <v>97</v>
      </c>
      <c r="D34" s="209"/>
      <c r="E34" s="41">
        <f>PERC_ADIC_FERIAS</f>
        <v>2.78</v>
      </c>
      <c r="F34" s="39">
        <f>PERC_ADIC_FERIAS%*MOD_1_REMUNERACAO_12X36_DIU</f>
        <v>0</v>
      </c>
    </row>
    <row r="35" spans="2:8" s="105" customFormat="1" x14ac:dyDescent="0.3">
      <c r="B35" s="220" t="s">
        <v>48</v>
      </c>
      <c r="C35" s="221"/>
      <c r="D35" s="221"/>
      <c r="E35" s="222"/>
      <c r="F35" s="44">
        <f>SUM(F33:F34)</f>
        <v>0</v>
      </c>
    </row>
    <row r="36" spans="2:8" s="105" customFormat="1" ht="31.5" customHeight="1" x14ac:dyDescent="0.3">
      <c r="B36" s="302" t="s">
        <v>70</v>
      </c>
      <c r="C36" s="302"/>
      <c r="D36" s="302"/>
      <c r="E36" s="302"/>
      <c r="F36" s="302"/>
    </row>
    <row r="37" spans="2:8" s="105" customFormat="1" ht="34.5" customHeight="1" x14ac:dyDescent="0.3">
      <c r="B37" s="1" t="s">
        <v>71</v>
      </c>
      <c r="C37" s="303" t="s">
        <v>98</v>
      </c>
      <c r="D37" s="304"/>
      <c r="E37" s="5" t="s">
        <v>1</v>
      </c>
      <c r="F37" s="5" t="s">
        <v>13</v>
      </c>
    </row>
    <row r="38" spans="2:8" x14ac:dyDescent="0.3">
      <c r="B38" s="1" t="s">
        <v>2</v>
      </c>
      <c r="C38" s="294" t="s">
        <v>43</v>
      </c>
      <c r="D38" s="295"/>
      <c r="E38" s="62">
        <f>PERC_INSS</f>
        <v>20</v>
      </c>
      <c r="F38" s="61">
        <f>PERC_INSS%*(MOD_1_REMUNERACAO_12X36_DIU+SUBMOD_2_1_DEC_TERC_ADIC_FERIAS_12X36_DIU)</f>
        <v>0</v>
      </c>
    </row>
    <row r="39" spans="2:8" s="96" customFormat="1" x14ac:dyDescent="0.3">
      <c r="B39" s="2" t="s">
        <v>3</v>
      </c>
      <c r="C39" s="207" t="s">
        <v>45</v>
      </c>
      <c r="D39" s="209"/>
      <c r="E39" s="49">
        <f>PERC_SAL_EDUCACAO</f>
        <v>2.5</v>
      </c>
      <c r="F39" s="39">
        <f>PERC_SAL_EDUCACAO%*(MOD_1_REMUNERACAO_12X36_DIU+SUBMOD_2_1_DEC_TERC_ADIC_FERIAS_12X36_DIU)</f>
        <v>0</v>
      </c>
      <c r="G39" s="17"/>
      <c r="H39" s="17"/>
    </row>
    <row r="40" spans="2:8" s="96" customFormat="1" x14ac:dyDescent="0.3">
      <c r="B40" s="2" t="s">
        <v>4</v>
      </c>
      <c r="C40" s="294" t="s">
        <v>92</v>
      </c>
      <c r="D40" s="295"/>
      <c r="E40" s="62">
        <f>PERC_RAT</f>
        <v>3</v>
      </c>
      <c r="F40" s="61">
        <f>PERC_RAT%*(MOD_1_REMUNERACAO_12X36_DIU+SUBMOD_2_1_DEC_TERC_ADIC_FERIAS_12X36_DIU)</f>
        <v>0</v>
      </c>
      <c r="G40" s="17"/>
      <c r="H40" s="17"/>
    </row>
    <row r="41" spans="2:8" s="96" customFormat="1" x14ac:dyDescent="0.3">
      <c r="B41" s="2" t="s">
        <v>5</v>
      </c>
      <c r="C41" s="207" t="s">
        <v>90</v>
      </c>
      <c r="D41" s="209"/>
      <c r="E41" s="41">
        <f>PERC_SESC</f>
        <v>1.5</v>
      </c>
      <c r="F41" s="39">
        <f>PERC_SESC%*(MOD_1_REMUNERACAO_12X36_DIU+SUBMOD_2_1_DEC_TERC_ADIC_FERIAS_12X36_DIU)</f>
        <v>0</v>
      </c>
      <c r="G41" s="17"/>
      <c r="H41" s="17"/>
    </row>
    <row r="42" spans="2:8" s="96" customFormat="1" x14ac:dyDescent="0.3">
      <c r="B42" s="2" t="s">
        <v>6</v>
      </c>
      <c r="C42" s="294" t="s">
        <v>91</v>
      </c>
      <c r="D42" s="295"/>
      <c r="E42" s="62">
        <f>PERC_SENAC</f>
        <v>1</v>
      </c>
      <c r="F42" s="61">
        <f>PERC_SENAC%*(MOD_1_REMUNERACAO_12X36_DIU+SUBMOD_2_1_DEC_TERC_ADIC_FERIAS_12X36_DIU)</f>
        <v>0</v>
      </c>
      <c r="G42" s="17"/>
      <c r="H42" s="17"/>
    </row>
    <row r="43" spans="2:8" s="97" customFormat="1" x14ac:dyDescent="0.3">
      <c r="B43" s="2" t="s">
        <v>7</v>
      </c>
      <c r="C43" s="207" t="s">
        <v>47</v>
      </c>
      <c r="D43" s="209"/>
      <c r="E43" s="49">
        <f>PERC_SEBRAE</f>
        <v>0.6</v>
      </c>
      <c r="F43" s="39">
        <f>PERC_SEBRAE%*(MOD_1_REMUNERACAO_12X36_DIU+SUBMOD_2_1_DEC_TERC_ADIC_FERIAS_12X36_DIU)</f>
        <v>0</v>
      </c>
      <c r="G43" s="17"/>
      <c r="H43" s="17"/>
    </row>
    <row r="44" spans="2:8" s="97" customFormat="1" x14ac:dyDescent="0.3">
      <c r="B44" s="2" t="s">
        <v>10</v>
      </c>
      <c r="C44" s="294" t="s">
        <v>44</v>
      </c>
      <c r="D44" s="295"/>
      <c r="E44" s="62">
        <f>PERC_INCRA</f>
        <v>0.2</v>
      </c>
      <c r="F44" s="61">
        <f>PERC_INCRA%*(MOD_1_REMUNERACAO_12X36_DIU+SUBMOD_2_1_DEC_TERC_ADIC_FERIAS_12X36_DIU)</f>
        <v>0</v>
      </c>
      <c r="G44" s="17"/>
      <c r="H44" s="17"/>
    </row>
    <row r="45" spans="2:8" x14ac:dyDescent="0.3">
      <c r="B45" s="2" t="s">
        <v>11</v>
      </c>
      <c r="C45" s="207" t="s">
        <v>46</v>
      </c>
      <c r="D45" s="209"/>
      <c r="E45" s="49">
        <f>PERC_FGTS</f>
        <v>8</v>
      </c>
      <c r="F45" s="39">
        <f>PERC_FGTS%*(MOD_1_REMUNERACAO_12X36_DIU+SUBMOD_2_1_DEC_TERC_ADIC_FERIAS_12X36_DIU)</f>
        <v>0</v>
      </c>
    </row>
    <row r="46" spans="2:8" x14ac:dyDescent="0.3">
      <c r="B46" s="220" t="s">
        <v>48</v>
      </c>
      <c r="C46" s="221"/>
      <c r="D46" s="221"/>
      <c r="E46" s="222"/>
      <c r="F46" s="45">
        <f>SUM(F38:F45)</f>
        <v>0</v>
      </c>
    </row>
    <row r="47" spans="2:8" ht="15.75" customHeight="1" x14ac:dyDescent="0.3">
      <c r="B47" s="54" t="s">
        <v>73</v>
      </c>
      <c r="C47" s="97"/>
      <c r="D47" s="97"/>
      <c r="E47" s="97"/>
      <c r="F47" s="97"/>
    </row>
    <row r="48" spans="2:8" ht="15.75" customHeight="1" x14ac:dyDescent="0.3">
      <c r="B48" s="1" t="s">
        <v>93</v>
      </c>
      <c r="C48" s="220" t="s">
        <v>14</v>
      </c>
      <c r="D48" s="221"/>
      <c r="E48" s="222"/>
      <c r="F48" s="5" t="s">
        <v>13</v>
      </c>
    </row>
    <row r="49" spans="2:7" x14ac:dyDescent="0.3">
      <c r="B49" s="29" t="s">
        <v>2</v>
      </c>
      <c r="C49" s="294" t="s">
        <v>15</v>
      </c>
      <c r="D49" s="295"/>
      <c r="E49" s="298"/>
      <c r="F49" s="61">
        <f>IF(((TRANSPORTE_POR_DIA*DIAS_TRABALHADOS_NO_MES_12X36)-(PERC_DESC_TRANSP_REMUNERACAO%*(AL_1_A_SAL_BASE_12X36_DIU/2)))&gt;0,((TRANSPORTE_POR_DIA*DIAS_TRABALHADOS_NO_MES_12X36)-(PERC_DESC_TRANSP_REMUNERACAO%*(AL_1_A_SAL_BASE_12X36_DIU/2))),0)</f>
        <v>0</v>
      </c>
    </row>
    <row r="50" spans="2:7" s="105" customFormat="1" x14ac:dyDescent="0.3">
      <c r="B50" s="29" t="s">
        <v>3</v>
      </c>
      <c r="C50" s="207" t="s">
        <v>72</v>
      </c>
      <c r="D50" s="208"/>
      <c r="E50" s="209"/>
      <c r="F50" s="39">
        <f>ALIMENTACAO_POR_DIA*DIAS_TRABALHADOS_NO_MES_12X36</f>
        <v>0</v>
      </c>
      <c r="G50" s="17"/>
    </row>
    <row r="51" spans="2:7" s="105" customFormat="1" x14ac:dyDescent="0.3">
      <c r="B51" s="29" t="s">
        <v>4</v>
      </c>
      <c r="C51" s="294" t="str">
        <f>OUTROS_BENEFICIOS_1_DESCRICAO</f>
        <v>Outros Benefícios 1 (Especificar)</v>
      </c>
      <c r="D51" s="295"/>
      <c r="E51" s="298"/>
      <c r="F51" s="61">
        <f>OUTROS_BENEFICIOS_1</f>
        <v>0</v>
      </c>
      <c r="G51" s="17"/>
    </row>
    <row r="52" spans="2:7" s="105" customFormat="1" x14ac:dyDescent="0.3">
      <c r="B52" s="29" t="s">
        <v>5</v>
      </c>
      <c r="C52" s="299" t="str">
        <f>OUTROS_BENEFICIOS_2_DESCRICAO</f>
        <v>Outros Benefícios 2 (Especificar)</v>
      </c>
      <c r="D52" s="300"/>
      <c r="E52" s="301"/>
      <c r="F52" s="39">
        <f>OUTROS_BENEFICIOS_2</f>
        <v>0</v>
      </c>
      <c r="G52" s="17"/>
    </row>
    <row r="53" spans="2:7" s="105" customFormat="1" x14ac:dyDescent="0.3">
      <c r="B53" s="29" t="s">
        <v>6</v>
      </c>
      <c r="C53" s="294" t="str">
        <f>OUTROS_BENEFICIOS_3_DESCRICAO</f>
        <v>Outros Benefícios 3 (Especificar)</v>
      </c>
      <c r="D53" s="295"/>
      <c r="E53" s="298"/>
      <c r="F53" s="61">
        <f>OUTROS_BENEFICIOS_3</f>
        <v>0</v>
      </c>
    </row>
    <row r="54" spans="2:7" s="105" customFormat="1" ht="15" customHeight="1" x14ac:dyDescent="0.3">
      <c r="B54" s="220" t="s">
        <v>48</v>
      </c>
      <c r="C54" s="221"/>
      <c r="D54" s="221"/>
      <c r="E54" s="222"/>
      <c r="F54" s="43">
        <f>SUM(F49:F53)</f>
        <v>0</v>
      </c>
    </row>
    <row r="55" spans="2:7" s="105" customFormat="1" x14ac:dyDescent="0.3">
      <c r="B55" s="54" t="s">
        <v>74</v>
      </c>
      <c r="C55" s="16"/>
      <c r="D55" s="26"/>
      <c r="E55" s="24"/>
      <c r="F55" s="24"/>
    </row>
    <row r="56" spans="2:7" s="105" customFormat="1" ht="15" customHeight="1" x14ac:dyDescent="0.3">
      <c r="B56" s="1">
        <v>3</v>
      </c>
      <c r="C56" s="216" t="s">
        <v>50</v>
      </c>
      <c r="D56" s="216"/>
      <c r="E56" s="5" t="s">
        <v>1</v>
      </c>
      <c r="F56" s="5" t="s">
        <v>13</v>
      </c>
    </row>
    <row r="57" spans="2:7" s="105" customFormat="1" x14ac:dyDescent="0.3">
      <c r="B57" s="1" t="s">
        <v>2</v>
      </c>
      <c r="C57" s="278" t="s">
        <v>51</v>
      </c>
      <c r="D57" s="278"/>
      <c r="E57" s="62">
        <f>PERC_AVISO_PREVIO_IND</f>
        <v>0.28999999999999998</v>
      </c>
      <c r="F57" s="61">
        <f>PERC_AVISO_PREVIO_IND%*(MOD_1_REMUNERACAO_12X36_DIU+SUBMOD_2_1_DEC_TERC_ADIC_FERIAS_12X36_DIU+AL_2_2_FGTS_12X36_DIU+SUBMOD_2_3_BENEFICIOS_12X36_DIU)</f>
        <v>0</v>
      </c>
    </row>
    <row r="58" spans="2:7" s="105" customFormat="1" x14ac:dyDescent="0.3">
      <c r="B58" s="2" t="s">
        <v>3</v>
      </c>
      <c r="C58" s="280" t="s">
        <v>52</v>
      </c>
      <c r="D58" s="280"/>
      <c r="E58" s="49">
        <f>PERC_AVISO_PREVIO_TRAB</f>
        <v>1.1599999999999999</v>
      </c>
      <c r="F58" s="39">
        <f>PERC_AVISO_PREVIO_TRAB%*(MOD_1_REMUNERACAO_12X36_DIU+SUBMOD_2_1_DEC_TERC_ADIC_FERIAS_12X36_DIU+SUBMOD_2_2_GPS_FGTS_12X36_DIU+SUBMOD_2_3_BENEFICIOS_12X36_DIU)</f>
        <v>0</v>
      </c>
    </row>
    <row r="59" spans="2:7" s="96" customFormat="1" x14ac:dyDescent="0.15">
      <c r="B59" s="2" t="s">
        <v>4</v>
      </c>
      <c r="C59" s="278" t="s">
        <v>244</v>
      </c>
      <c r="D59" s="278"/>
      <c r="E59" s="62">
        <f>PERC_MULTA_FGTS_AV_PREV_TRAB</f>
        <v>0.04</v>
      </c>
      <c r="F59" s="61">
        <f>PERC_MULTA_FGTS_AV_PREV_TRAB%*(MOD_1_REMUNERACAO_12X36_DIU+SUBMOD_2_1_DEC_TERC_ADIC_FERIAS_12X36_DIU)</f>
        <v>0</v>
      </c>
    </row>
    <row r="60" spans="2:7" s="96" customFormat="1" x14ac:dyDescent="0.3">
      <c r="B60" s="220" t="s">
        <v>48</v>
      </c>
      <c r="C60" s="221"/>
      <c r="D60" s="221"/>
      <c r="E60" s="222"/>
      <c r="F60" s="44">
        <f>SUM(F57:F59)</f>
        <v>0</v>
      </c>
    </row>
    <row r="61" spans="2:7" ht="7.5" customHeight="1" x14ac:dyDescent="0.3">
      <c r="B61" s="20"/>
      <c r="C61" s="21"/>
      <c r="D61" s="22"/>
      <c r="E61" s="18"/>
      <c r="F61" s="18"/>
    </row>
    <row r="62" spans="2:7" s="96" customFormat="1" ht="15.95" customHeight="1" x14ac:dyDescent="0.3">
      <c r="B62" s="54" t="s">
        <v>75</v>
      </c>
      <c r="C62" s="16"/>
      <c r="D62" s="26"/>
      <c r="E62" s="17"/>
      <c r="F62" s="17"/>
    </row>
    <row r="63" spans="2:7" s="96" customFormat="1" ht="15.95" customHeight="1" x14ac:dyDescent="0.3">
      <c r="B63" s="54" t="s">
        <v>104</v>
      </c>
      <c r="C63" s="16"/>
      <c r="D63" s="26"/>
      <c r="E63" s="24"/>
      <c r="F63" s="24"/>
    </row>
    <row r="64" spans="2:7" s="96" customFormat="1" x14ac:dyDescent="0.15">
      <c r="B64" s="1" t="s">
        <v>20</v>
      </c>
      <c r="C64" s="279" t="s">
        <v>105</v>
      </c>
      <c r="D64" s="279"/>
      <c r="E64" s="5" t="s">
        <v>1</v>
      </c>
      <c r="F64" s="5" t="s">
        <v>13</v>
      </c>
    </row>
    <row r="65" spans="2:6" s="96" customFormat="1" ht="15.95" customHeight="1" x14ac:dyDescent="0.15">
      <c r="B65" s="2" t="s">
        <v>2</v>
      </c>
      <c r="C65" s="277" t="s">
        <v>106</v>
      </c>
      <c r="D65" s="277"/>
      <c r="E65" s="62">
        <f>PERC_SUBSTITUTO_FERIAS</f>
        <v>8.33</v>
      </c>
      <c r="F65" s="61">
        <f>PERC_SUBSTITUTO_FERIAS%*(MOD_1_REMUNERACAO_12X36_DIU+MOD_2_ENCARGOS_BENEFICIOS_12X36_DIU+MOD_3_PROVISAO_RESCISAO_12X36_DIU)</f>
        <v>0</v>
      </c>
    </row>
    <row r="66" spans="2:6" s="96" customFormat="1" ht="15.95" customHeight="1" x14ac:dyDescent="0.15">
      <c r="B66" s="2" t="s">
        <v>3</v>
      </c>
      <c r="C66" s="276" t="s">
        <v>107</v>
      </c>
      <c r="D66" s="276"/>
      <c r="E66" s="49">
        <f>PERC_SUBSTITUTO_AUSENCIAS_LEGAIS</f>
        <v>2.2200000000000002</v>
      </c>
      <c r="F66" s="39">
        <f>PERC_SUBSTITUTO_AUSENCIAS_LEGAIS%*(MOD_1_REMUNERACAO_12X36_DIU+MOD_2_ENCARGOS_BENEFICIOS_12X36_DIU+MOD_3_PROVISAO_RESCISAO_12X36_DIU)</f>
        <v>0</v>
      </c>
    </row>
    <row r="67" spans="2:6" s="96" customFormat="1" ht="15.95" customHeight="1" x14ac:dyDescent="0.15">
      <c r="B67" s="2" t="s">
        <v>4</v>
      </c>
      <c r="C67" s="277" t="s">
        <v>108</v>
      </c>
      <c r="D67" s="277"/>
      <c r="E67" s="62">
        <f>PERC_SUBSTITUTO_LICENCA_PATERNIDADE</f>
        <v>7.0000000000000007E-2</v>
      </c>
      <c r="F67" s="61">
        <f>PERC_SUBSTITUTO_LICENCA_PATERNIDADE%*(MOD_1_REMUNERACAO_12X36_DIU+MOD_2_ENCARGOS_BENEFICIOS_12X36_DIU+MOD_3_PROVISAO_RESCISAO_12X36_DIU)</f>
        <v>0</v>
      </c>
    </row>
    <row r="68" spans="2:6" s="96" customFormat="1" x14ac:dyDescent="0.15">
      <c r="B68" s="2" t="s">
        <v>5</v>
      </c>
      <c r="C68" s="276" t="s">
        <v>109</v>
      </c>
      <c r="D68" s="276"/>
      <c r="E68" s="49">
        <f>PERC_SUBSTITUTO_ACID_TRAB</f>
        <v>0.02</v>
      </c>
      <c r="F68" s="39">
        <f>PERC_SUBSTITUTO_ACID_TRAB%*(MOD_1_REMUNERACAO_12X36_DIU+MOD_2_ENCARGOS_BENEFICIOS_12X36_DIU+MOD_3_PROVISAO_RESCISAO_12X36_DIU)</f>
        <v>0</v>
      </c>
    </row>
    <row r="69" spans="2:6" s="96" customFormat="1" x14ac:dyDescent="0.15">
      <c r="B69" s="2" t="s">
        <v>6</v>
      </c>
      <c r="C69" s="277" t="s">
        <v>110</v>
      </c>
      <c r="D69" s="277"/>
      <c r="E69" s="62">
        <f>PERC_SUBSTITUTO_AFAST_MATERN</f>
        <v>0.04</v>
      </c>
      <c r="F69" s="61">
        <f>PERC_SUBSTITUTO_AFAST_MATERN%*(MOD_1_REMUNERACAO_12X36_DIU+MOD_2_ENCARGOS_BENEFICIOS_12X36_DIU+MOD_3_PROVISAO_RESCISAO_12X36_DIU)</f>
        <v>0</v>
      </c>
    </row>
    <row r="70" spans="2:6" s="96" customFormat="1" x14ac:dyDescent="0.15">
      <c r="B70" s="2" t="s">
        <v>7</v>
      </c>
      <c r="C70" s="305" t="str">
        <f>OUTRAS_AUSENCIAS_DESCRICAO</f>
        <v>Outras Ausências (Especificar - em %)</v>
      </c>
      <c r="D70" s="276"/>
      <c r="E70" s="56">
        <f>PERC_SUBSTITUTO_OUTRAS_AUSENCIAS</f>
        <v>0</v>
      </c>
      <c r="F70" s="39">
        <f>PERC_SUBSTITUTO_OUTRAS_AUSENCIAS%*(MOD_1_REMUNERACAO_12X36_DIU+MOD_2_ENCARGOS_BENEFICIOS_12X36_DIU+MOD_3_PROVISAO_RESCISAO_12X36_DIU)</f>
        <v>0</v>
      </c>
    </row>
    <row r="71" spans="2:6" s="96" customFormat="1" x14ac:dyDescent="0.3">
      <c r="B71" s="220" t="s">
        <v>48</v>
      </c>
      <c r="C71" s="221"/>
      <c r="D71" s="221"/>
      <c r="E71" s="222"/>
      <c r="F71" s="44">
        <f>SUM(F65:F70)</f>
        <v>0</v>
      </c>
    </row>
    <row r="72" spans="2:6" s="96" customFormat="1" ht="15" customHeight="1" x14ac:dyDescent="0.3">
      <c r="B72" s="54" t="s">
        <v>238</v>
      </c>
      <c r="C72" s="16"/>
      <c r="D72" s="26"/>
      <c r="E72" s="24"/>
      <c r="F72" s="24"/>
    </row>
    <row r="73" spans="2:6" s="96" customFormat="1" x14ac:dyDescent="0.15">
      <c r="B73" s="1" t="s">
        <v>21</v>
      </c>
      <c r="C73" s="216" t="s">
        <v>237</v>
      </c>
      <c r="D73" s="216"/>
      <c r="E73" s="216"/>
      <c r="F73" s="5" t="s">
        <v>13</v>
      </c>
    </row>
    <row r="74" spans="2:6" s="96" customFormat="1" x14ac:dyDescent="0.15">
      <c r="B74" s="1" t="s">
        <v>2</v>
      </c>
      <c r="C74" s="277" t="s">
        <v>111</v>
      </c>
      <c r="D74" s="277"/>
      <c r="E74" s="277"/>
      <c r="F74" s="60">
        <f>((MOD_1_REMUNERACAO_12X36_DIU+MOD_2_ENCARGOS_BENEFICIOS_12X36_DIU+MOD_3_PROVISAO_RESCISAO_12X36_DIU)/DIVISOR_DE_HORAS)*((TEMPO_INTERVALO_REFEICAO/HORA_NORMAL)+PERC_HORA_EXTRA%)*DIAS_TRABALHADOS_NO_MES_12X36</f>
        <v>0</v>
      </c>
    </row>
    <row r="75" spans="2:6" s="96" customFormat="1" x14ac:dyDescent="0.3">
      <c r="B75" s="216" t="s">
        <v>48</v>
      </c>
      <c r="C75" s="216"/>
      <c r="D75" s="216"/>
      <c r="E75" s="216"/>
      <c r="F75" s="44">
        <f>SUM(F74)</f>
        <v>0</v>
      </c>
    </row>
    <row r="76" spans="2:6" ht="7.5" customHeight="1" x14ac:dyDescent="0.3">
      <c r="B76" s="20"/>
      <c r="C76" s="21"/>
      <c r="D76" s="22"/>
      <c r="E76" s="18"/>
      <c r="F76" s="18"/>
    </row>
    <row r="77" spans="2:6" x14ac:dyDescent="0.3">
      <c r="B77" s="54" t="s">
        <v>79</v>
      </c>
      <c r="C77" s="16"/>
      <c r="D77" s="16"/>
      <c r="E77" s="24"/>
      <c r="F77" s="24"/>
    </row>
    <row r="78" spans="2:6" ht="15.75" customHeight="1" x14ac:dyDescent="0.3">
      <c r="B78" s="52">
        <v>5</v>
      </c>
      <c r="C78" s="223" t="s">
        <v>0</v>
      </c>
      <c r="D78" s="223"/>
      <c r="E78" s="223"/>
      <c r="F78" s="53" t="s">
        <v>13</v>
      </c>
    </row>
    <row r="79" spans="2:6" x14ac:dyDescent="0.3">
      <c r="B79" s="47" t="s">
        <v>2</v>
      </c>
      <c r="C79" s="224" t="s">
        <v>16</v>
      </c>
      <c r="D79" s="224"/>
      <c r="E79" s="224"/>
      <c r="F79" s="63">
        <f>UNIFORMES</f>
        <v>0</v>
      </c>
    </row>
    <row r="80" spans="2:6" x14ac:dyDescent="0.3">
      <c r="B80" s="47" t="s">
        <v>3</v>
      </c>
      <c r="C80" s="225" t="s">
        <v>18</v>
      </c>
      <c r="D80" s="225"/>
      <c r="E80" s="225"/>
      <c r="F80" s="50">
        <f>MATERIAIS</f>
        <v>0</v>
      </c>
    </row>
    <row r="81" spans="2:8" x14ac:dyDescent="0.3">
      <c r="B81" s="47" t="s">
        <v>4</v>
      </c>
      <c r="C81" s="224" t="s">
        <v>17</v>
      </c>
      <c r="D81" s="224"/>
      <c r="E81" s="224"/>
      <c r="F81" s="63">
        <f>EQUIPAMENTOS_12X36DIU</f>
        <v>0</v>
      </c>
    </row>
    <row r="82" spans="2:8" x14ac:dyDescent="0.3">
      <c r="B82" s="47" t="s">
        <v>5</v>
      </c>
      <c r="C82" s="307" t="str">
        <f>OUTROS_INSUMOS_DESCRICAO</f>
        <v>Outros (Especificar)</v>
      </c>
      <c r="D82" s="225"/>
      <c r="E82" s="225"/>
      <c r="F82" s="50">
        <f>OUTROS_INSUMOS</f>
        <v>0</v>
      </c>
    </row>
    <row r="83" spans="2:8" x14ac:dyDescent="0.3">
      <c r="B83" s="308" t="s">
        <v>48</v>
      </c>
      <c r="C83" s="308"/>
      <c r="D83" s="308"/>
      <c r="E83" s="308"/>
      <c r="F83" s="46">
        <f>SUM(F79:F82)</f>
        <v>0</v>
      </c>
    </row>
    <row r="84" spans="2:8" ht="7.5" customHeight="1" x14ac:dyDescent="0.3">
      <c r="B84" s="20"/>
      <c r="C84" s="21"/>
      <c r="D84" s="22"/>
      <c r="E84" s="18"/>
      <c r="F84" s="18"/>
    </row>
    <row r="85" spans="2:8" ht="15" customHeight="1" x14ac:dyDescent="0.3">
      <c r="B85" s="264" t="s">
        <v>78</v>
      </c>
      <c r="C85" s="264"/>
      <c r="D85" s="264"/>
      <c r="E85" s="264"/>
      <c r="F85" s="264"/>
    </row>
    <row r="86" spans="2:8" x14ac:dyDescent="0.3">
      <c r="B86" s="1">
        <v>6</v>
      </c>
      <c r="C86" s="216" t="s">
        <v>22</v>
      </c>
      <c r="D86" s="216"/>
      <c r="E86" s="5" t="s">
        <v>1</v>
      </c>
      <c r="F86" s="5" t="s">
        <v>13</v>
      </c>
    </row>
    <row r="87" spans="2:8" x14ac:dyDescent="0.3">
      <c r="B87" s="1" t="s">
        <v>2</v>
      </c>
      <c r="C87" s="277" t="s">
        <v>80</v>
      </c>
      <c r="D87" s="277"/>
      <c r="E87" s="64">
        <f>PERC_CUSTOS_INDIRETOS</f>
        <v>0</v>
      </c>
      <c r="F87" s="61">
        <f>PERC_CUSTOS_INDIRETOS%*(MOD_1_REMUNERACAO_12X36_DIU+MOD_2_ENCARGOS_BENEFICIOS_12X36_DIU+MOD_3_PROVISAO_RESCISAO_12X36_DIU+MOD_4_CUSTO_REPOSICAO_12X36_DIU+MOD_5_INSUMOS_12X36_DIU)</f>
        <v>0</v>
      </c>
    </row>
    <row r="88" spans="2:8" ht="15.75" customHeight="1" x14ac:dyDescent="0.3">
      <c r="B88" s="2" t="s">
        <v>3</v>
      </c>
      <c r="C88" s="276" t="s">
        <v>34</v>
      </c>
      <c r="D88" s="276"/>
      <c r="E88" s="51">
        <f>PERC_LUCRO</f>
        <v>0</v>
      </c>
      <c r="F88" s="39">
        <f>PERC_LUCRO%*(MOD_1_REMUNERACAO_12X36_DIU+MOD_2_ENCARGOS_BENEFICIOS_12X36_DIU+MOD_3_PROVISAO_RESCISAO_12X36_DIU+MOD_4_CUSTO_REPOSICAO_12X36_DIU+MOD_5_INSUMOS_12X36_DIU+AL_6_A_CUSTOS_INDIRETOS_12X36_DIU)</f>
        <v>0</v>
      </c>
    </row>
    <row r="89" spans="2:8" x14ac:dyDescent="0.3">
      <c r="B89" s="2" t="s">
        <v>4</v>
      </c>
      <c r="C89" s="277" t="s">
        <v>23</v>
      </c>
      <c r="D89" s="277"/>
      <c r="E89" s="64">
        <f>SUM(E90:E92)</f>
        <v>0</v>
      </c>
      <c r="F89" s="61">
        <f>SUM(F90:F92)</f>
        <v>0</v>
      </c>
    </row>
    <row r="90" spans="2:8" ht="15.75" customHeight="1" x14ac:dyDescent="0.3">
      <c r="B90" s="34" t="s">
        <v>81</v>
      </c>
      <c r="C90" s="306" t="s">
        <v>25</v>
      </c>
      <c r="D90" s="306"/>
      <c r="E90" s="35">
        <f>PERC_PIS</f>
        <v>0</v>
      </c>
      <c r="F90" s="66">
        <f>((MOD_1_REMUNERACAO_12X36_DIU+MOD_2_ENCARGOS_BENEFICIOS_12X36_DIU+MOD_3_PROVISAO_RESCISAO_12X36_DIU+MOD_4_CUSTO_REPOSICAO_12X36_DIU+MOD_5_INSUMOS_12X36_DIU+AL_6_A_CUSTOS_INDIRETOS_12X36_DIU+AL_6_B_LUCRO_12X36_DIU)*PERC_PIS%)/(1-PERC_TRIBUTOS%)</f>
        <v>0</v>
      </c>
    </row>
    <row r="91" spans="2:8" x14ac:dyDescent="0.3">
      <c r="B91" s="34" t="s">
        <v>82</v>
      </c>
      <c r="C91" s="309" t="s">
        <v>26</v>
      </c>
      <c r="D91" s="309"/>
      <c r="E91" s="65">
        <f>PERC_COFINS</f>
        <v>0</v>
      </c>
      <c r="F91" s="67">
        <f>((MOD_1_REMUNERACAO_12X36_DIU+MOD_2_ENCARGOS_BENEFICIOS_12X36_DIU+MOD_3_PROVISAO_RESCISAO_12X36_DIU+MOD_4_CUSTO_REPOSICAO_12X36_DIU+MOD_5_INSUMOS_12X36_DIU+AL_6_A_CUSTOS_INDIRETOS_12X36_DIU+AL_6_B_LUCRO_12X36_DIU)*PERC_COFINS%)/(1-PERC_TRIBUTOS%)</f>
        <v>0</v>
      </c>
    </row>
    <row r="92" spans="2:8" s="106" customFormat="1" x14ac:dyDescent="0.3">
      <c r="B92" s="34" t="s">
        <v>83</v>
      </c>
      <c r="C92" s="306" t="s">
        <v>27</v>
      </c>
      <c r="D92" s="306"/>
      <c r="E92" s="35">
        <f>PERC_ISS</f>
        <v>0</v>
      </c>
      <c r="F92" s="66">
        <f>((MOD_1_REMUNERACAO_12X36_DIU+MOD_2_ENCARGOS_BENEFICIOS_12X36_DIU+MOD_3_PROVISAO_RESCISAO_12X36_DIU+MOD_4_CUSTO_REPOSICAO_12X36_DIU+MOD_5_INSUMOS_12X36_DIU+AL_6_A_CUSTOS_INDIRETOS_12X36_DIU+AL_6_B_LUCRO_12X36_DIU)*PERC_ISS%)/(1-PERC_TRIBUTOS%)</f>
        <v>0</v>
      </c>
      <c r="H92" s="17"/>
    </row>
    <row r="93" spans="2:8" s="106" customFormat="1" x14ac:dyDescent="0.3">
      <c r="B93" s="220" t="s">
        <v>48</v>
      </c>
      <c r="C93" s="221"/>
      <c r="D93" s="221"/>
      <c r="E93" s="222"/>
      <c r="F93" s="40">
        <f>AL_6_A_CUSTOS_INDIRETOS_12X36_DIU+AL_6_B_LUCRO_12X36_DIU+AL_6_C_TRIBUTOS_12X36_DIU</f>
        <v>0</v>
      </c>
    </row>
    <row r="94" spans="2:8" s="106" customFormat="1" ht="20.25" x14ac:dyDescent="0.3">
      <c r="B94" s="55" t="s">
        <v>55</v>
      </c>
      <c r="C94" s="19"/>
      <c r="D94" s="19"/>
      <c r="E94" s="19"/>
      <c r="F94" s="27"/>
    </row>
    <row r="95" spans="2:8" s="107" customFormat="1" ht="16.5" customHeight="1" x14ac:dyDescent="0.3">
      <c r="B95" s="2" t="s">
        <v>100</v>
      </c>
      <c r="C95" s="213" t="s">
        <v>101</v>
      </c>
      <c r="D95" s="214"/>
      <c r="E95" s="215"/>
      <c r="F95" s="5" t="s">
        <v>19</v>
      </c>
      <c r="H95" s="126"/>
    </row>
    <row r="96" spans="2:8" s="106" customFormat="1" x14ac:dyDescent="0.3">
      <c r="B96" s="1">
        <v>1</v>
      </c>
      <c r="C96" s="277" t="s">
        <v>9</v>
      </c>
      <c r="D96" s="277"/>
      <c r="E96" s="277"/>
      <c r="F96" s="61">
        <f>MOD_1_REMUNERACAO_12X36_DIU</f>
        <v>0</v>
      </c>
    </row>
    <row r="97" spans="2:8" s="108" customFormat="1" ht="16.5" customHeight="1" x14ac:dyDescent="0.3">
      <c r="B97" s="2">
        <v>2</v>
      </c>
      <c r="C97" s="276" t="s">
        <v>102</v>
      </c>
      <c r="D97" s="276"/>
      <c r="E97" s="276"/>
      <c r="F97" s="39">
        <f>MOD_2_ENCARGOS_BENEFICIOS_12X36_DIU</f>
        <v>0</v>
      </c>
    </row>
    <row r="98" spans="2:8" s="108" customFormat="1" x14ac:dyDescent="0.3">
      <c r="B98" s="2">
        <v>3</v>
      </c>
      <c r="C98" s="277" t="s">
        <v>50</v>
      </c>
      <c r="D98" s="277"/>
      <c r="E98" s="277"/>
      <c r="F98" s="61">
        <f>MOD_3_PROVISAO_RESCISAO_12X36_DIU</f>
        <v>0</v>
      </c>
    </row>
    <row r="99" spans="2:8" s="108" customFormat="1" x14ac:dyDescent="0.3">
      <c r="B99" s="2">
        <v>4</v>
      </c>
      <c r="C99" s="276" t="s">
        <v>53</v>
      </c>
      <c r="D99" s="276"/>
      <c r="E99" s="276"/>
      <c r="F99" s="39">
        <f>MOD_4_CUSTO_REPOSICAO_12X36_DIU</f>
        <v>0</v>
      </c>
    </row>
    <row r="100" spans="2:8" s="108" customFormat="1" x14ac:dyDescent="0.3">
      <c r="B100" s="2">
        <v>5</v>
      </c>
      <c r="C100" s="277" t="s">
        <v>0</v>
      </c>
      <c r="D100" s="277"/>
      <c r="E100" s="277"/>
      <c r="F100" s="61">
        <f>MOD_5_INSUMOS_12X36_DIU</f>
        <v>0</v>
      </c>
    </row>
    <row r="101" spans="2:8" s="108" customFormat="1" x14ac:dyDescent="0.3">
      <c r="B101" s="2">
        <v>6</v>
      </c>
      <c r="C101" s="276" t="s">
        <v>22</v>
      </c>
      <c r="D101" s="276"/>
      <c r="E101" s="276"/>
      <c r="F101" s="39">
        <f>MOD_6_CUSTOS_IND_LUCRO_TRIB_12X36_DIU</f>
        <v>0</v>
      </c>
    </row>
    <row r="102" spans="2:8" ht="16.5" customHeight="1" x14ac:dyDescent="0.3">
      <c r="B102" s="279" t="s">
        <v>103</v>
      </c>
      <c r="C102" s="279"/>
      <c r="D102" s="279"/>
      <c r="E102" s="279"/>
      <c r="F102" s="40">
        <f>SUM(F96:F101)</f>
        <v>0</v>
      </c>
      <c r="H102" s="127"/>
    </row>
    <row r="103" spans="2:8" ht="16.5" customHeight="1" x14ac:dyDescent="0.3">
      <c r="B103" s="279" t="s">
        <v>32</v>
      </c>
      <c r="C103" s="279"/>
      <c r="D103" s="279"/>
      <c r="E103" s="279"/>
      <c r="F103" s="40">
        <f>F102*EMPREG_POR_POSTO_12X36_DIU</f>
        <v>0</v>
      </c>
    </row>
  </sheetData>
  <mergeCells count="90">
    <mergeCell ref="B103:E103"/>
    <mergeCell ref="C91:D91"/>
    <mergeCell ref="C92:D92"/>
    <mergeCell ref="B93:E93"/>
    <mergeCell ref="C95:E95"/>
    <mergeCell ref="C96:E96"/>
    <mergeCell ref="C97:E97"/>
    <mergeCell ref="C98:E98"/>
    <mergeCell ref="C99:E99"/>
    <mergeCell ref="C100:E100"/>
    <mergeCell ref="C101:E101"/>
    <mergeCell ref="B102:E102"/>
    <mergeCell ref="C90:D90"/>
    <mergeCell ref="C78:E78"/>
    <mergeCell ref="C79:E79"/>
    <mergeCell ref="C80:E80"/>
    <mergeCell ref="C81:E81"/>
    <mergeCell ref="C82:E82"/>
    <mergeCell ref="B83:E83"/>
    <mergeCell ref="B85:F85"/>
    <mergeCell ref="C86:D86"/>
    <mergeCell ref="C87:D87"/>
    <mergeCell ref="C88:D88"/>
    <mergeCell ref="C89:D89"/>
    <mergeCell ref="B75:E75"/>
    <mergeCell ref="B60:E60"/>
    <mergeCell ref="C64:D64"/>
    <mergeCell ref="C65:D65"/>
    <mergeCell ref="C66:D66"/>
    <mergeCell ref="C67:D67"/>
    <mergeCell ref="C68:D68"/>
    <mergeCell ref="C69:D69"/>
    <mergeCell ref="C70:D70"/>
    <mergeCell ref="B71:E71"/>
    <mergeCell ref="C73:E73"/>
    <mergeCell ref="C74:E74"/>
    <mergeCell ref="C59:D59"/>
    <mergeCell ref="B46:E46"/>
    <mergeCell ref="C48:E48"/>
    <mergeCell ref="C49:E49"/>
    <mergeCell ref="C50:E50"/>
    <mergeCell ref="C51:E51"/>
    <mergeCell ref="C52:E52"/>
    <mergeCell ref="C53:E53"/>
    <mergeCell ref="B54:E54"/>
    <mergeCell ref="C56:D56"/>
    <mergeCell ref="C57:D57"/>
    <mergeCell ref="C58:D58"/>
    <mergeCell ref="C45:D45"/>
    <mergeCell ref="C34:D34"/>
    <mergeCell ref="B35:E35"/>
    <mergeCell ref="B36:F36"/>
    <mergeCell ref="C37:D37"/>
    <mergeCell ref="C38:D38"/>
    <mergeCell ref="C39:D39"/>
    <mergeCell ref="C40:D40"/>
    <mergeCell ref="C41:D41"/>
    <mergeCell ref="C42:D42"/>
    <mergeCell ref="C43:D43"/>
    <mergeCell ref="C44:D44"/>
    <mergeCell ref="C33:D33"/>
    <mergeCell ref="C18:E18"/>
    <mergeCell ref="B20:F20"/>
    <mergeCell ref="B21:E21"/>
    <mergeCell ref="C23:E23"/>
    <mergeCell ref="C24:E24"/>
    <mergeCell ref="C25:E25"/>
    <mergeCell ref="C26:E26"/>
    <mergeCell ref="C27:E27"/>
    <mergeCell ref="C28:E28"/>
    <mergeCell ref="B29:E29"/>
    <mergeCell ref="C32:D32"/>
    <mergeCell ref="D17:F17"/>
    <mergeCell ref="B6:C6"/>
    <mergeCell ref="D6:E6"/>
    <mergeCell ref="B7:F7"/>
    <mergeCell ref="C8:E8"/>
    <mergeCell ref="D9:F9"/>
    <mergeCell ref="C10:E10"/>
    <mergeCell ref="C11:E11"/>
    <mergeCell ref="C12:E12"/>
    <mergeCell ref="C15:D15"/>
    <mergeCell ref="E15:F15"/>
    <mergeCell ref="D16:F16"/>
    <mergeCell ref="B1:F1"/>
    <mergeCell ref="B2:D2"/>
    <mergeCell ref="B3:F3"/>
    <mergeCell ref="B4:F4"/>
    <mergeCell ref="B5:C5"/>
    <mergeCell ref="D5:F5"/>
  </mergeCells>
  <printOptions horizontalCentered="1"/>
  <pageMargins left="0.15748031496062992" right="0.23622047244094491" top="0.24" bottom="0.15748031496062992" header="0.23622047244094491" footer="0.15748031496062992"/>
  <pageSetup paperSize="9" firstPageNumber="0" orientation="portrait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C8EB46-7C71-45B2-9024-71B9E75751EA}">
  <dimension ref="B1:F103"/>
  <sheetViews>
    <sheetView tabSelected="1" topLeftCell="A28" zoomScaleNormal="100" zoomScaleSheetLayoutView="100" workbookViewId="0">
      <selection activeCell="F49" sqref="F49"/>
    </sheetView>
  </sheetViews>
  <sheetFormatPr defaultRowHeight="16.5" x14ac:dyDescent="0.3"/>
  <cols>
    <col min="1" max="1" width="2.7109375" style="17" customWidth="1"/>
    <col min="2" max="2" width="8.85546875" style="17" customWidth="1"/>
    <col min="3" max="3" width="52.5703125" style="23" customWidth="1"/>
    <col min="4" max="4" width="7.85546875" style="23" customWidth="1"/>
    <col min="5" max="5" width="13.5703125" style="23" customWidth="1"/>
    <col min="6" max="6" width="15.42578125" style="23" bestFit="1" customWidth="1"/>
    <col min="7" max="16384" width="9.140625" style="17"/>
  </cols>
  <sheetData>
    <row r="1" spans="2:6" ht="20.25" x14ac:dyDescent="0.35">
      <c r="B1" s="282" t="str">
        <f>RAMO</f>
        <v>RAMO:</v>
      </c>
      <c r="C1" s="283"/>
      <c r="D1" s="283"/>
      <c r="E1" s="283"/>
      <c r="F1" s="284"/>
    </row>
    <row r="2" spans="2:6" ht="20.25" x14ac:dyDescent="0.35">
      <c r="B2" s="285" t="str">
        <f>UG</f>
        <v>UNIDADE GESTORA (SIGLA):</v>
      </c>
      <c r="C2" s="286"/>
      <c r="D2" s="287"/>
      <c r="E2" s="111" t="s">
        <v>59</v>
      </c>
      <c r="F2" s="112" t="str">
        <f>DATA_DO_ORCAMENTO_ESTIMATIVO</f>
        <v>XX/XX/20XX</v>
      </c>
    </row>
    <row r="3" spans="2:6" s="96" customFormat="1" ht="25.5" x14ac:dyDescent="0.5">
      <c r="B3" s="237" t="s">
        <v>57</v>
      </c>
      <c r="C3" s="237"/>
      <c r="D3" s="237"/>
      <c r="E3" s="237"/>
      <c r="F3" s="237"/>
    </row>
    <row r="4" spans="2:6" s="96" customFormat="1" ht="15.95" customHeight="1" x14ac:dyDescent="0.3">
      <c r="B4" s="238" t="s">
        <v>99</v>
      </c>
      <c r="C4" s="238"/>
      <c r="D4" s="238"/>
      <c r="E4" s="238"/>
      <c r="F4" s="238"/>
    </row>
    <row r="5" spans="2:6" s="96" customFormat="1" ht="15.95" customHeight="1" x14ac:dyDescent="0.3">
      <c r="B5" s="246" t="s">
        <v>235</v>
      </c>
      <c r="C5" s="246"/>
      <c r="D5" s="288" t="str">
        <f>NUMERO_PROCESSO</f>
        <v>X.XX.XXX.XXXXXX/20XX-XX</v>
      </c>
      <c r="E5" s="288"/>
      <c r="F5" s="288"/>
    </row>
    <row r="6" spans="2:6" s="96" customFormat="1" ht="15.75" customHeight="1" x14ac:dyDescent="0.3">
      <c r="B6" s="250" t="s">
        <v>236</v>
      </c>
      <c r="C6" s="250"/>
      <c r="D6" s="289" t="str">
        <f>MODALIDADE_DE_LICITACAO</f>
        <v>Pregão nº</v>
      </c>
      <c r="E6" s="289"/>
      <c r="F6" s="116" t="str">
        <f>NUMERO_PREGAO</f>
        <v>XX/20XX</v>
      </c>
    </row>
    <row r="7" spans="2:6" s="97" customFormat="1" ht="15.75" customHeight="1" x14ac:dyDescent="0.3">
      <c r="B7" s="290" t="s">
        <v>60</v>
      </c>
      <c r="C7" s="290"/>
      <c r="D7" s="290"/>
      <c r="E7" s="290"/>
      <c r="F7" s="290"/>
    </row>
    <row r="8" spans="2:6" s="96" customFormat="1" ht="18" customHeight="1" x14ac:dyDescent="0.3">
      <c r="B8" s="29" t="s">
        <v>2</v>
      </c>
      <c r="C8" s="246" t="s">
        <v>65</v>
      </c>
      <c r="D8" s="246"/>
      <c r="E8" s="246"/>
      <c r="F8" s="117" t="str">
        <f>DATA_APRESENTACAO_PROPOSTA</f>
        <v>XX/XX/20XX</v>
      </c>
    </row>
    <row r="9" spans="2:6" s="96" customFormat="1" ht="15.95" customHeight="1" x14ac:dyDescent="0.15">
      <c r="B9" s="1" t="s">
        <v>3</v>
      </c>
      <c r="C9" s="70" t="s">
        <v>38</v>
      </c>
      <c r="D9" s="291" t="str">
        <f>IF(LOCAL_DE_EXECUCAO="","",LOCAL_DE_EXECUCAO)</f>
        <v/>
      </c>
      <c r="E9" s="291"/>
      <c r="F9" s="291"/>
    </row>
    <row r="10" spans="2:6" s="96" customFormat="1" ht="18.75" customHeight="1" x14ac:dyDescent="0.3">
      <c r="B10" s="29" t="s">
        <v>4</v>
      </c>
      <c r="C10" s="246" t="s">
        <v>39</v>
      </c>
      <c r="D10" s="246"/>
      <c r="E10" s="246"/>
      <c r="F10" s="118" t="str">
        <f>ACORDO_COLETIVO</f>
        <v>XX/20XX</v>
      </c>
    </row>
    <row r="11" spans="2:6" s="96" customFormat="1" ht="15.95" customHeight="1" x14ac:dyDescent="0.3">
      <c r="B11" s="1" t="s">
        <v>5</v>
      </c>
      <c r="C11" s="291" t="s">
        <v>66</v>
      </c>
      <c r="D11" s="291"/>
      <c r="E11" s="291"/>
      <c r="F11" s="119">
        <f>NUMERO_MESES_EXEC_CONTRATUAL</f>
        <v>12</v>
      </c>
    </row>
    <row r="12" spans="2:6" s="96" customFormat="1" x14ac:dyDescent="0.3">
      <c r="B12" s="1" t="s">
        <v>6</v>
      </c>
      <c r="C12" s="292" t="s">
        <v>87</v>
      </c>
      <c r="D12" s="292"/>
      <c r="E12" s="292"/>
      <c r="F12" s="100">
        <f>IF(QTDE_DE_POSTOS_12X36_VIG_DIU=0,"",QTDE_DE_POSTOS_12X36_VIG_DIU)</f>
        <v>40</v>
      </c>
    </row>
    <row r="13" spans="2:6" s="125" customFormat="1" ht="21" customHeight="1" x14ac:dyDescent="0.2">
      <c r="B13" s="123" t="s">
        <v>216</v>
      </c>
      <c r="C13" s="124"/>
      <c r="D13" s="124"/>
      <c r="E13" s="124"/>
      <c r="F13" s="124"/>
    </row>
    <row r="14" spans="2:6" s="96" customFormat="1" x14ac:dyDescent="0.3">
      <c r="B14" s="29">
        <v>1</v>
      </c>
      <c r="C14" s="202" t="s">
        <v>62</v>
      </c>
      <c r="D14" s="202"/>
      <c r="E14" s="239" t="str">
        <f>TIPO_DE_SERVICO</f>
        <v>Vigilância</v>
      </c>
      <c r="F14" s="239"/>
    </row>
    <row r="15" spans="2:6" s="97" customFormat="1" x14ac:dyDescent="0.3">
      <c r="B15" s="29">
        <v>2</v>
      </c>
      <c r="C15" s="31" t="s">
        <v>61</v>
      </c>
      <c r="D15" s="293">
        <f>CBO_VIGI</f>
        <v>0</v>
      </c>
      <c r="E15" s="293"/>
      <c r="F15" s="293"/>
    </row>
    <row r="16" spans="2:6" s="96" customFormat="1" ht="15" customHeight="1" x14ac:dyDescent="0.3">
      <c r="B16" s="29">
        <v>3</v>
      </c>
      <c r="C16" s="59" t="s">
        <v>63</v>
      </c>
      <c r="D16" s="239">
        <f>CATEGORIA_PROFISSIONAL</f>
        <v>0</v>
      </c>
      <c r="E16" s="239"/>
      <c r="F16" s="239"/>
    </row>
    <row r="17" spans="2:6" s="96" customFormat="1" ht="15" customHeight="1" x14ac:dyDescent="0.3">
      <c r="B17" s="29">
        <v>4</v>
      </c>
      <c r="C17" s="257" t="s">
        <v>64</v>
      </c>
      <c r="D17" s="257"/>
      <c r="E17" s="257"/>
      <c r="F17" s="133" t="str">
        <f>DATA_BASE_CATEGORIA</f>
        <v>XX/XX/20XX</v>
      </c>
    </row>
    <row r="18" spans="2:6" s="122" customFormat="1" ht="30" customHeight="1" x14ac:dyDescent="0.3">
      <c r="B18" s="296" t="s">
        <v>42</v>
      </c>
      <c r="C18" s="296"/>
      <c r="D18" s="296"/>
      <c r="E18" s="296"/>
      <c r="F18" s="296"/>
    </row>
    <row r="19" spans="2:6" x14ac:dyDescent="0.3">
      <c r="B19" s="216" t="s">
        <v>54</v>
      </c>
      <c r="C19" s="216"/>
      <c r="D19" s="216"/>
      <c r="E19" s="216"/>
      <c r="F19" s="115">
        <v>2</v>
      </c>
    </row>
    <row r="20" spans="2:6" x14ac:dyDescent="0.3">
      <c r="B20" s="54" t="s">
        <v>8</v>
      </c>
      <c r="E20" s="18"/>
      <c r="F20" s="18"/>
    </row>
    <row r="21" spans="2:6" x14ac:dyDescent="0.3">
      <c r="B21" s="1">
        <v>1</v>
      </c>
      <c r="C21" s="261" t="s">
        <v>9</v>
      </c>
      <c r="D21" s="261"/>
      <c r="E21" s="261"/>
      <c r="F21" s="5" t="s">
        <v>13</v>
      </c>
    </row>
    <row r="22" spans="2:6" x14ac:dyDescent="0.3">
      <c r="B22" s="1" t="s">
        <v>2</v>
      </c>
      <c r="C22" s="210" t="s">
        <v>94</v>
      </c>
      <c r="D22" s="210"/>
      <c r="E22" s="210"/>
      <c r="F22" s="60">
        <f>SALARIO_BASE_VIGI</f>
        <v>0</v>
      </c>
    </row>
    <row r="23" spans="2:6" x14ac:dyDescent="0.3">
      <c r="B23" s="1" t="s">
        <v>3</v>
      </c>
      <c r="C23" s="276" t="s">
        <v>96</v>
      </c>
      <c r="D23" s="276"/>
      <c r="E23" s="276"/>
      <c r="F23" s="14">
        <f>PERC_ADIC_PERIC%*SALARIO_BASE_VIGI</f>
        <v>0</v>
      </c>
    </row>
    <row r="24" spans="2:6" ht="15.75" customHeight="1" x14ac:dyDescent="0.3">
      <c r="B24" s="1" t="s">
        <v>4</v>
      </c>
      <c r="C24" s="310" t="s">
        <v>85</v>
      </c>
      <c r="D24" s="310"/>
      <c r="E24" s="310"/>
      <c r="F24" s="60">
        <f>((AL_1_A_SAL_BASE_12X36_NOT+AL_1_B_ADIC_PERIC_12X36_NOT)/DIVISOR_DE_HORAS)*DIAS_NA_SEMANA*MEDIA_ANUAL_DIAS_TRABALHO_MES*PERC_ADIC_NOT%</f>
        <v>0</v>
      </c>
    </row>
    <row r="25" spans="2:6" ht="15.75" customHeight="1" x14ac:dyDescent="0.3">
      <c r="B25" s="1" t="s">
        <v>5</v>
      </c>
      <c r="C25" s="276" t="s">
        <v>89</v>
      </c>
      <c r="D25" s="276"/>
      <c r="E25" s="276"/>
      <c r="F25" s="14">
        <f>((AL_1_A_SAL_BASE_12X36_NOT+AL_1_B_ADIC_PERIC_12X36_NOT)/DIVISOR_DE_HORAS)*((HORA_NORMAL-HORA_NOTURNA)/HORA_NOTURNA)*DIAS_NA_SEMANA*MEDIA_ANUAL_DIAS_TRABALHO_MES*PERC_ADIC_NOT%</f>
        <v>0</v>
      </c>
    </row>
    <row r="26" spans="2:6" x14ac:dyDescent="0.3">
      <c r="B26" s="1" t="s">
        <v>6</v>
      </c>
      <c r="C26" s="294" t="str">
        <f>OUTROS_REMUNERACAO_1_DESCRICAO</f>
        <v>Outras Remunerações 1 (Especificar)</v>
      </c>
      <c r="D26" s="295"/>
      <c r="E26" s="298"/>
      <c r="F26" s="60">
        <f>OUTROS_REMUNERACAO_1</f>
        <v>0</v>
      </c>
    </row>
    <row r="27" spans="2:6" x14ac:dyDescent="0.3">
      <c r="B27" s="1" t="s">
        <v>7</v>
      </c>
      <c r="C27" s="299" t="str">
        <f>OUTROS_REMUNERACAO_2_DESCRICAO</f>
        <v>Outras Remunerações 2 (Especificar)</v>
      </c>
      <c r="D27" s="300"/>
      <c r="E27" s="301"/>
      <c r="F27" s="14">
        <f>OUTROS_REMUNERACAO_2</f>
        <v>0</v>
      </c>
    </row>
    <row r="28" spans="2:6" x14ac:dyDescent="0.3">
      <c r="B28" s="1" t="s">
        <v>10</v>
      </c>
      <c r="C28" s="294" t="str">
        <f>OUTROS_REMUNERACAO_3_DESCRICAO</f>
        <v>Outras Remunerações 3 (Especificar)</v>
      </c>
      <c r="D28" s="295"/>
      <c r="E28" s="298"/>
      <c r="F28" s="60">
        <f>OUTROS_REMUNERACAO_3</f>
        <v>0</v>
      </c>
    </row>
    <row r="29" spans="2:6" x14ac:dyDescent="0.3">
      <c r="B29" s="311" t="s">
        <v>48</v>
      </c>
      <c r="C29" s="311"/>
      <c r="D29" s="311"/>
      <c r="E29" s="311"/>
      <c r="F29" s="43">
        <f>SUM(F22:F28)</f>
        <v>0</v>
      </c>
    </row>
    <row r="30" spans="2:6" x14ac:dyDescent="0.3">
      <c r="B30" s="54" t="s">
        <v>67</v>
      </c>
      <c r="E30" s="25"/>
      <c r="F30" s="25"/>
    </row>
    <row r="31" spans="2:6" x14ac:dyDescent="0.3">
      <c r="B31" s="54" t="s">
        <v>112</v>
      </c>
      <c r="C31" s="16"/>
      <c r="D31" s="26"/>
      <c r="E31" s="24"/>
      <c r="F31" s="24"/>
    </row>
    <row r="32" spans="2:6" x14ac:dyDescent="0.3">
      <c r="B32" s="1" t="s">
        <v>68</v>
      </c>
      <c r="C32" s="216" t="s">
        <v>95</v>
      </c>
      <c r="D32" s="216"/>
      <c r="E32" s="5" t="s">
        <v>1</v>
      </c>
      <c r="F32" s="5" t="s">
        <v>13</v>
      </c>
    </row>
    <row r="33" spans="2:6" x14ac:dyDescent="0.3">
      <c r="B33" s="1" t="s">
        <v>2</v>
      </c>
      <c r="C33" s="277" t="s">
        <v>49</v>
      </c>
      <c r="D33" s="277"/>
      <c r="E33" s="62">
        <f>PERC_DEC_TERC</f>
        <v>8.33</v>
      </c>
      <c r="F33" s="61">
        <f>PERC_DEC_TERC%*MOD_1_REMUNERACAO_12X36_NOT</f>
        <v>0</v>
      </c>
    </row>
    <row r="34" spans="2:6" s="21" customFormat="1" x14ac:dyDescent="0.3">
      <c r="B34" s="2" t="s">
        <v>3</v>
      </c>
      <c r="C34" s="276" t="s">
        <v>97</v>
      </c>
      <c r="D34" s="276"/>
      <c r="E34" s="41">
        <f>PERC_ADIC_FERIAS</f>
        <v>2.78</v>
      </c>
      <c r="F34" s="39">
        <f>PERC_ADIC_FERIAS%*MOD_1_REMUNERACAO_12X36_NOT</f>
        <v>0</v>
      </c>
    </row>
    <row r="35" spans="2:6" s="105" customFormat="1" x14ac:dyDescent="0.3">
      <c r="B35" s="220" t="s">
        <v>48</v>
      </c>
      <c r="C35" s="221"/>
      <c r="D35" s="221"/>
      <c r="E35" s="222"/>
      <c r="F35" s="44">
        <f>SUM(F33:F34)</f>
        <v>0</v>
      </c>
    </row>
    <row r="36" spans="2:6" s="105" customFormat="1" ht="31.5" customHeight="1" x14ac:dyDescent="0.3">
      <c r="B36" s="312" t="s">
        <v>70</v>
      </c>
      <c r="C36" s="312"/>
      <c r="D36" s="312"/>
      <c r="E36" s="312"/>
      <c r="F36" s="312"/>
    </row>
    <row r="37" spans="2:6" s="105" customFormat="1" ht="34.5" customHeight="1" x14ac:dyDescent="0.3">
      <c r="B37" s="1" t="s">
        <v>71</v>
      </c>
      <c r="C37" s="281" t="s">
        <v>98</v>
      </c>
      <c r="D37" s="281"/>
      <c r="E37" s="5" t="s">
        <v>1</v>
      </c>
      <c r="F37" s="5" t="s">
        <v>13</v>
      </c>
    </row>
    <row r="38" spans="2:6" x14ac:dyDescent="0.3">
      <c r="B38" s="1" t="s">
        <v>2</v>
      </c>
      <c r="C38" s="277" t="s">
        <v>43</v>
      </c>
      <c r="D38" s="277"/>
      <c r="E38" s="62">
        <f>PERC_INSS</f>
        <v>20</v>
      </c>
      <c r="F38" s="61">
        <f>PERC_INSS%*(MOD_1_REMUNERACAO_12X36_NOT+SUBMOD_2_1_DEC_TERC_ADIC_FERIAS_12X36_NOT)</f>
        <v>0</v>
      </c>
    </row>
    <row r="39" spans="2:6" s="96" customFormat="1" x14ac:dyDescent="0.15">
      <c r="B39" s="2" t="s">
        <v>3</v>
      </c>
      <c r="C39" s="276" t="s">
        <v>45</v>
      </c>
      <c r="D39" s="276"/>
      <c r="E39" s="49">
        <f>PERC_SAL_EDUCACAO</f>
        <v>2.5</v>
      </c>
      <c r="F39" s="39">
        <f>PERC_SAL_EDUCACAO%*(MOD_1_REMUNERACAO_12X36_NOT+SUBMOD_2_1_DEC_TERC_ADIC_FERIAS_12X36_NOT)</f>
        <v>0</v>
      </c>
    </row>
    <row r="40" spans="2:6" s="96" customFormat="1" x14ac:dyDescent="0.15">
      <c r="B40" s="2" t="s">
        <v>4</v>
      </c>
      <c r="C40" s="277" t="s">
        <v>92</v>
      </c>
      <c r="D40" s="277"/>
      <c r="E40" s="62">
        <f>PERC_RAT</f>
        <v>3</v>
      </c>
      <c r="F40" s="61">
        <f>PERC_RAT%*(MOD_1_REMUNERACAO_12X36_NOT+SUBMOD_2_1_DEC_TERC_ADIC_FERIAS_12X36_NOT)</f>
        <v>0</v>
      </c>
    </row>
    <row r="41" spans="2:6" s="96" customFormat="1" x14ac:dyDescent="0.15">
      <c r="B41" s="2" t="s">
        <v>5</v>
      </c>
      <c r="C41" s="276" t="s">
        <v>90</v>
      </c>
      <c r="D41" s="276"/>
      <c r="E41" s="41">
        <f>PERC_SESC</f>
        <v>1.5</v>
      </c>
      <c r="F41" s="39">
        <f>PERC_SESC%*(MOD_1_REMUNERACAO_12X36_NOT+SUBMOD_2_1_DEC_TERC_ADIC_FERIAS_12X36_NOT)</f>
        <v>0</v>
      </c>
    </row>
    <row r="42" spans="2:6" s="96" customFormat="1" x14ac:dyDescent="0.15">
      <c r="B42" s="2" t="s">
        <v>6</v>
      </c>
      <c r="C42" s="277" t="s">
        <v>91</v>
      </c>
      <c r="D42" s="277"/>
      <c r="E42" s="62">
        <f>PERC_SENAC</f>
        <v>1</v>
      </c>
      <c r="F42" s="61">
        <f>PERC_SENAC%*(MOD_1_REMUNERACAO_12X36_NOT+SUBMOD_2_1_DEC_TERC_ADIC_FERIAS_12X36_NOT)</f>
        <v>0</v>
      </c>
    </row>
    <row r="43" spans="2:6" s="97" customFormat="1" x14ac:dyDescent="0.15">
      <c r="B43" s="2" t="s">
        <v>7</v>
      </c>
      <c r="C43" s="276" t="s">
        <v>47</v>
      </c>
      <c r="D43" s="276"/>
      <c r="E43" s="49">
        <f>PERC_SEBRAE</f>
        <v>0.6</v>
      </c>
      <c r="F43" s="39">
        <f>PERC_SEBRAE%*(MOD_1_REMUNERACAO_12X36_NOT+SUBMOD_2_1_DEC_TERC_ADIC_FERIAS_12X36_NOT)</f>
        <v>0</v>
      </c>
    </row>
    <row r="44" spans="2:6" s="97" customFormat="1" x14ac:dyDescent="0.15">
      <c r="B44" s="2" t="s">
        <v>10</v>
      </c>
      <c r="C44" s="277" t="s">
        <v>44</v>
      </c>
      <c r="D44" s="277"/>
      <c r="E44" s="62">
        <f>PERC_INCRA</f>
        <v>0.2</v>
      </c>
      <c r="F44" s="61">
        <f>PERC_INCRA%*(MOD_1_REMUNERACAO_12X36_NOT+SUBMOD_2_1_DEC_TERC_ADIC_FERIAS_12X36_NOT)</f>
        <v>0</v>
      </c>
    </row>
    <row r="45" spans="2:6" x14ac:dyDescent="0.3">
      <c r="B45" s="2" t="s">
        <v>11</v>
      </c>
      <c r="C45" s="276" t="s">
        <v>46</v>
      </c>
      <c r="D45" s="276"/>
      <c r="E45" s="49">
        <f>PERC_FGTS</f>
        <v>8</v>
      </c>
      <c r="F45" s="39">
        <f>PERC_FGTS%*(MOD_1_REMUNERACAO_12X36_NOT+SUBMOD_2_1_DEC_TERC_ADIC_FERIAS_12X36_NOT)</f>
        <v>0</v>
      </c>
    </row>
    <row r="46" spans="2:6" x14ac:dyDescent="0.3">
      <c r="B46" s="220" t="s">
        <v>48</v>
      </c>
      <c r="C46" s="221"/>
      <c r="D46" s="221"/>
      <c r="E46" s="222"/>
      <c r="F46" s="45">
        <f>SUM(F38:F45)</f>
        <v>0</v>
      </c>
    </row>
    <row r="47" spans="2:6" ht="15.75" customHeight="1" x14ac:dyDescent="0.3">
      <c r="B47" s="54" t="s">
        <v>73</v>
      </c>
      <c r="C47" s="97"/>
      <c r="D47" s="97"/>
      <c r="E47" s="97"/>
      <c r="F47" s="97"/>
    </row>
    <row r="48" spans="2:6" ht="15.75" customHeight="1" x14ac:dyDescent="0.3">
      <c r="B48" s="1" t="s">
        <v>93</v>
      </c>
      <c r="C48" s="261" t="s">
        <v>14</v>
      </c>
      <c r="D48" s="261"/>
      <c r="E48" s="261"/>
      <c r="F48" s="5" t="s">
        <v>13</v>
      </c>
    </row>
    <row r="49" spans="2:6" x14ac:dyDescent="0.3">
      <c r="B49" s="29" t="s">
        <v>2</v>
      </c>
      <c r="C49" s="277" t="s">
        <v>15</v>
      </c>
      <c r="D49" s="277"/>
      <c r="E49" s="277"/>
      <c r="F49" s="61">
        <f>IF(((TRANSPORTE_POR_DIA*DIAS_TRABALHADOS_NO_MES_12X36)-(PERC_DESC_TRANSP_REMUNERACAO%*(AL_1_A_SAL_BASE_12X36_NOT/2)))&gt;0,((TRANSPORTE_POR_DIA*DIAS_TRABALHADOS_NO_MES_12X36)-(PERC_DESC_TRANSP_REMUNERACAO%*(AL_1_A_SAL_BASE_12X36_NOT/2))),0)</f>
        <v>0</v>
      </c>
    </row>
    <row r="50" spans="2:6" s="105" customFormat="1" x14ac:dyDescent="0.3">
      <c r="B50" s="29" t="s">
        <v>3</v>
      </c>
      <c r="C50" s="276" t="s">
        <v>72</v>
      </c>
      <c r="D50" s="276"/>
      <c r="E50" s="276"/>
      <c r="F50" s="39">
        <f>ALIMENTACAO_POR_DIA*DIAS_TRABALHADOS_NO_MES_12X36</f>
        <v>0</v>
      </c>
    </row>
    <row r="51" spans="2:6" s="105" customFormat="1" x14ac:dyDescent="0.3">
      <c r="B51" s="29" t="s">
        <v>4</v>
      </c>
      <c r="C51" s="294" t="str">
        <f>OUTROS_BENEFICIOS_1_DESCRICAO</f>
        <v>Outros Benefícios 1 (Especificar)</v>
      </c>
      <c r="D51" s="295"/>
      <c r="E51" s="298"/>
      <c r="F51" s="61">
        <f>OUTROS_BENEFICIOS_1</f>
        <v>0</v>
      </c>
    </row>
    <row r="52" spans="2:6" s="105" customFormat="1" x14ac:dyDescent="0.3">
      <c r="B52" s="29" t="s">
        <v>5</v>
      </c>
      <c r="C52" s="299" t="str">
        <f>OUTROS_BENEFICIOS_2_DESCRICAO</f>
        <v>Outros Benefícios 2 (Especificar)</v>
      </c>
      <c r="D52" s="300"/>
      <c r="E52" s="301"/>
      <c r="F52" s="39">
        <f>OUTROS_BENEFICIOS_2</f>
        <v>0</v>
      </c>
    </row>
    <row r="53" spans="2:6" s="105" customFormat="1" x14ac:dyDescent="0.3">
      <c r="B53" s="29" t="s">
        <v>6</v>
      </c>
      <c r="C53" s="294" t="str">
        <f>OUTROS_BENEFICIOS_3_DESCRICAO</f>
        <v>Outros Benefícios 3 (Especificar)</v>
      </c>
      <c r="D53" s="295"/>
      <c r="E53" s="298"/>
      <c r="F53" s="61">
        <f>OUTROS_BENEFICIOS_3</f>
        <v>0</v>
      </c>
    </row>
    <row r="54" spans="2:6" s="105" customFormat="1" ht="15" customHeight="1" x14ac:dyDescent="0.3">
      <c r="B54" s="311" t="s">
        <v>48</v>
      </c>
      <c r="C54" s="311"/>
      <c r="D54" s="311"/>
      <c r="E54" s="311"/>
      <c r="F54" s="43">
        <f>SUM(F49:F53)</f>
        <v>0</v>
      </c>
    </row>
    <row r="55" spans="2:6" s="105" customFormat="1" x14ac:dyDescent="0.3">
      <c r="B55" s="54" t="s">
        <v>74</v>
      </c>
      <c r="C55" s="16"/>
      <c r="D55" s="26"/>
      <c r="E55" s="24"/>
      <c r="F55" s="24"/>
    </row>
    <row r="56" spans="2:6" s="105" customFormat="1" ht="15" customHeight="1" x14ac:dyDescent="0.3">
      <c r="B56" s="1">
        <v>3</v>
      </c>
      <c r="C56" s="216" t="s">
        <v>50</v>
      </c>
      <c r="D56" s="216"/>
      <c r="E56" s="5" t="s">
        <v>1</v>
      </c>
      <c r="F56" s="5" t="s">
        <v>13</v>
      </c>
    </row>
    <row r="57" spans="2:6" s="105" customFormat="1" x14ac:dyDescent="0.3">
      <c r="B57" s="1" t="s">
        <v>2</v>
      </c>
      <c r="C57" s="278" t="s">
        <v>51</v>
      </c>
      <c r="D57" s="278"/>
      <c r="E57" s="62">
        <f>PERC_AVISO_PREVIO_IND</f>
        <v>0.28999999999999998</v>
      </c>
      <c r="F57" s="61">
        <f>PERC_AVISO_PREVIO_IND%*(MOD_1_REMUNERACAO_12X36_NOT+SUBMOD_2_1_DEC_TERC_ADIC_FERIAS_12X36_NOT+AL_2_2_FGTS_12X36_NOT+SUBMOD_2_3_BENEFICIOS_12X36_NOT)</f>
        <v>0</v>
      </c>
    </row>
    <row r="58" spans="2:6" s="105" customFormat="1" x14ac:dyDescent="0.3">
      <c r="B58" s="2" t="s">
        <v>3</v>
      </c>
      <c r="C58" s="280" t="s">
        <v>52</v>
      </c>
      <c r="D58" s="280"/>
      <c r="E58" s="49">
        <f>PERC_AVISO_PREVIO_TRAB</f>
        <v>1.1599999999999999</v>
      </c>
      <c r="F58" s="39">
        <f>PERC_AVISO_PREVIO_TRAB%*(MOD_1_REMUNERACAO_12X36_NOT+SUBMOD_2_1_DEC_TERC_ADIC_FERIAS_12X36_NOT+SUBMOD_2_2_GPS_FGTS_12X36_NOT+SUBMOD_2_3_BENEFICIOS_12X36_NOT)</f>
        <v>0</v>
      </c>
    </row>
    <row r="59" spans="2:6" s="96" customFormat="1" x14ac:dyDescent="0.15">
      <c r="B59" s="2" t="s">
        <v>4</v>
      </c>
      <c r="C59" s="278" t="s">
        <v>244</v>
      </c>
      <c r="D59" s="278"/>
      <c r="E59" s="62">
        <f>PERC_MULTA_FGTS_AV_PREV_TRAB</f>
        <v>0.04</v>
      </c>
      <c r="F59" s="61">
        <f>PERC_MULTA_FGTS_AV_PREV_TRAB%*(MOD_1_REMUNERACAO_12X36_NOT+SUBMOD_2_1_DEC_TERC_ADIC_FERIAS_12X36_NOT)</f>
        <v>0</v>
      </c>
    </row>
    <row r="60" spans="2:6" s="96" customFormat="1" x14ac:dyDescent="0.3">
      <c r="B60" s="220" t="s">
        <v>48</v>
      </c>
      <c r="C60" s="221"/>
      <c r="D60" s="221"/>
      <c r="E60" s="222"/>
      <c r="F60" s="44">
        <f>SUM(F57:F59)</f>
        <v>0</v>
      </c>
    </row>
    <row r="61" spans="2:6" ht="7.5" customHeight="1" x14ac:dyDescent="0.3">
      <c r="B61" s="20"/>
      <c r="C61" s="21"/>
      <c r="D61" s="22"/>
      <c r="E61" s="18"/>
      <c r="F61" s="18"/>
    </row>
    <row r="62" spans="2:6" s="96" customFormat="1" ht="15.95" customHeight="1" x14ac:dyDescent="0.3">
      <c r="B62" s="54" t="s">
        <v>75</v>
      </c>
      <c r="C62" s="16"/>
      <c r="D62" s="26"/>
      <c r="E62" s="17"/>
      <c r="F62" s="17"/>
    </row>
    <row r="63" spans="2:6" s="96" customFormat="1" ht="15.95" customHeight="1" x14ac:dyDescent="0.3">
      <c r="B63" s="54" t="s">
        <v>104</v>
      </c>
      <c r="C63" s="16"/>
      <c r="D63" s="26"/>
      <c r="E63" s="24"/>
      <c r="F63" s="24"/>
    </row>
    <row r="64" spans="2:6" s="96" customFormat="1" x14ac:dyDescent="0.15">
      <c r="B64" s="1" t="s">
        <v>20</v>
      </c>
      <c r="C64" s="279" t="s">
        <v>105</v>
      </c>
      <c r="D64" s="279"/>
      <c r="E64" s="5" t="s">
        <v>1</v>
      </c>
      <c r="F64" s="5" t="s">
        <v>13</v>
      </c>
    </row>
    <row r="65" spans="2:6" s="96" customFormat="1" ht="15.95" customHeight="1" x14ac:dyDescent="0.15">
      <c r="B65" s="2" t="s">
        <v>2</v>
      </c>
      <c r="C65" s="277" t="s">
        <v>106</v>
      </c>
      <c r="D65" s="277"/>
      <c r="E65" s="62">
        <f>PERC_SUBSTITUTO_FERIAS</f>
        <v>8.33</v>
      </c>
      <c r="F65" s="61">
        <f>PERC_SUBSTITUTO_FERIAS%*(MOD_1_REMUNERACAO_12X36_NOT+MOD_2_ENCARGOS_BENEFICIOS_12X36_NOT+MOD_3_PROVISAO_RESCISAO_12X36_NOT)</f>
        <v>0</v>
      </c>
    </row>
    <row r="66" spans="2:6" s="96" customFormat="1" ht="15.95" customHeight="1" x14ac:dyDescent="0.15">
      <c r="B66" s="2" t="s">
        <v>3</v>
      </c>
      <c r="C66" s="276" t="s">
        <v>107</v>
      </c>
      <c r="D66" s="276"/>
      <c r="E66" s="49">
        <f>PERC_SUBSTITUTO_AUSENCIAS_LEGAIS</f>
        <v>2.2200000000000002</v>
      </c>
      <c r="F66" s="39">
        <f>PERC_SUBSTITUTO_AUSENCIAS_LEGAIS%*(MOD_1_REMUNERACAO_12X36_NOT+MOD_2_ENCARGOS_BENEFICIOS_12X36_NOT+MOD_3_PROVISAO_RESCISAO_12X36_NOT)</f>
        <v>0</v>
      </c>
    </row>
    <row r="67" spans="2:6" s="96" customFormat="1" ht="15.95" customHeight="1" x14ac:dyDescent="0.15">
      <c r="B67" s="2" t="s">
        <v>4</v>
      </c>
      <c r="C67" s="277" t="s">
        <v>108</v>
      </c>
      <c r="D67" s="277"/>
      <c r="E67" s="62">
        <f>PERC_SUBSTITUTO_LICENCA_PATERNIDADE</f>
        <v>7.0000000000000007E-2</v>
      </c>
      <c r="F67" s="61">
        <f>PERC_SUBSTITUTO_LICENCA_PATERNIDADE%*(MOD_1_REMUNERACAO_12X36_NOT+MOD_2_ENCARGOS_BENEFICIOS_12X36_NOT+MOD_3_PROVISAO_RESCISAO_12X36_NOT)</f>
        <v>0</v>
      </c>
    </row>
    <row r="68" spans="2:6" s="96" customFormat="1" x14ac:dyDescent="0.15">
      <c r="B68" s="2" t="s">
        <v>5</v>
      </c>
      <c r="C68" s="276" t="s">
        <v>109</v>
      </c>
      <c r="D68" s="276"/>
      <c r="E68" s="49">
        <f>PERC_SUBSTITUTO_ACID_TRAB</f>
        <v>0.02</v>
      </c>
      <c r="F68" s="39">
        <f>PERC_SUBSTITUTO_ACID_TRAB%*(MOD_1_REMUNERACAO_12X36_NOT+MOD_2_ENCARGOS_BENEFICIOS_12X36_NOT+MOD_3_PROVISAO_RESCISAO_12X36_NOT)</f>
        <v>0</v>
      </c>
    </row>
    <row r="69" spans="2:6" s="96" customFormat="1" x14ac:dyDescent="0.15">
      <c r="B69" s="2" t="s">
        <v>6</v>
      </c>
      <c r="C69" s="277" t="s">
        <v>110</v>
      </c>
      <c r="D69" s="277"/>
      <c r="E69" s="62">
        <f>PERC_SUBSTITUTO_AFAST_MATERN</f>
        <v>0.04</v>
      </c>
      <c r="F69" s="61">
        <f>PERC_SUBSTITUTO_AFAST_MATERN%*(MOD_1_REMUNERACAO_12X36_NOT+MOD_2_ENCARGOS_BENEFICIOS_12X36_NOT+MOD_3_PROVISAO_RESCISAO_12X36_NOT)</f>
        <v>0</v>
      </c>
    </row>
    <row r="70" spans="2:6" s="96" customFormat="1" x14ac:dyDescent="0.15">
      <c r="B70" s="2" t="s">
        <v>7</v>
      </c>
      <c r="C70" s="305" t="str">
        <f>OUTRAS_AUSENCIAS_DESCRICAO</f>
        <v>Outras Ausências (Especificar - em %)</v>
      </c>
      <c r="D70" s="276"/>
      <c r="E70" s="56">
        <f>PERC_SUBSTITUTO_OUTRAS_AUSENCIAS</f>
        <v>0</v>
      </c>
      <c r="F70" s="39">
        <f>PERC_SUBSTITUTO_OUTRAS_AUSENCIAS%*(MOD_1_REMUNERACAO_12X36_NOT+MOD_2_ENCARGOS_BENEFICIOS_12X36_NOT+MOD_3_PROVISAO_RESCISAO_12X36_NOT)</f>
        <v>0</v>
      </c>
    </row>
    <row r="71" spans="2:6" s="96" customFormat="1" x14ac:dyDescent="0.3">
      <c r="B71" s="220" t="s">
        <v>48</v>
      </c>
      <c r="C71" s="221"/>
      <c r="D71" s="221"/>
      <c r="E71" s="222"/>
      <c r="F71" s="44">
        <f>SUM(F65:F70)</f>
        <v>0</v>
      </c>
    </row>
    <row r="72" spans="2:6" s="96" customFormat="1" ht="15" customHeight="1" x14ac:dyDescent="0.3">
      <c r="B72" s="54" t="s">
        <v>238</v>
      </c>
      <c r="C72" s="16"/>
      <c r="D72" s="26"/>
      <c r="E72" s="24"/>
      <c r="F72" s="24"/>
    </row>
    <row r="73" spans="2:6" s="96" customFormat="1" x14ac:dyDescent="0.15">
      <c r="B73" s="1" t="s">
        <v>21</v>
      </c>
      <c r="C73" s="216" t="s">
        <v>237</v>
      </c>
      <c r="D73" s="216"/>
      <c r="E73" s="216"/>
      <c r="F73" s="5" t="s">
        <v>13</v>
      </c>
    </row>
    <row r="74" spans="2:6" s="96" customFormat="1" x14ac:dyDescent="0.15">
      <c r="B74" s="1" t="s">
        <v>2</v>
      </c>
      <c r="C74" s="277" t="s">
        <v>111</v>
      </c>
      <c r="D74" s="277"/>
      <c r="E74" s="277"/>
      <c r="F74" s="60">
        <f>((MOD_1_REMUNERACAO_12X36_NOT+MOD_2_ENCARGOS_BENEFICIOS_12X36_NOT+MOD_3_PROVISAO_RESCISAO_12X36_NOT)/DIVISOR_DE_HORAS)*((TEMPO_INTERVALO_REFEICAO/HORA_NORMAL)+PERC_HORA_EXTRA%)*DIAS_TRABALHADOS_NO_MES_12X36</f>
        <v>0</v>
      </c>
    </row>
    <row r="75" spans="2:6" s="96" customFormat="1" x14ac:dyDescent="0.3">
      <c r="B75" s="216" t="s">
        <v>48</v>
      </c>
      <c r="C75" s="216"/>
      <c r="D75" s="216"/>
      <c r="E75" s="216"/>
      <c r="F75" s="44">
        <f>SUM(F74)</f>
        <v>0</v>
      </c>
    </row>
    <row r="76" spans="2:6" ht="7.5" customHeight="1" x14ac:dyDescent="0.3">
      <c r="B76" s="20"/>
      <c r="C76" s="21"/>
      <c r="D76" s="22"/>
      <c r="E76" s="18"/>
      <c r="F76" s="18"/>
    </row>
    <row r="77" spans="2:6" x14ac:dyDescent="0.3">
      <c r="B77" s="54" t="s">
        <v>79</v>
      </c>
      <c r="C77" s="16"/>
      <c r="D77" s="16"/>
      <c r="E77" s="24"/>
      <c r="F77" s="24"/>
    </row>
    <row r="78" spans="2:6" ht="15.75" customHeight="1" x14ac:dyDescent="0.3">
      <c r="B78" s="52">
        <v>5</v>
      </c>
      <c r="C78" s="223" t="s">
        <v>0</v>
      </c>
      <c r="D78" s="223"/>
      <c r="E78" s="223"/>
      <c r="F78" s="53" t="s">
        <v>13</v>
      </c>
    </row>
    <row r="79" spans="2:6" x14ac:dyDescent="0.3">
      <c r="B79" s="47" t="s">
        <v>2</v>
      </c>
      <c r="C79" s="224" t="s">
        <v>16</v>
      </c>
      <c r="D79" s="224"/>
      <c r="E79" s="224"/>
      <c r="F79" s="63">
        <f>UNIFORMES</f>
        <v>0</v>
      </c>
    </row>
    <row r="80" spans="2:6" x14ac:dyDescent="0.3">
      <c r="B80" s="47" t="s">
        <v>3</v>
      </c>
      <c r="C80" s="225" t="s">
        <v>18</v>
      </c>
      <c r="D80" s="225"/>
      <c r="E80" s="225"/>
      <c r="F80" s="50">
        <f>MATERIAIS</f>
        <v>0</v>
      </c>
    </row>
    <row r="81" spans="2:6" x14ac:dyDescent="0.3">
      <c r="B81" s="47" t="s">
        <v>4</v>
      </c>
      <c r="C81" s="224" t="s">
        <v>17</v>
      </c>
      <c r="D81" s="224"/>
      <c r="E81" s="224"/>
      <c r="F81" s="63">
        <f>EQUIPAMENTOS_12X36NOT</f>
        <v>0</v>
      </c>
    </row>
    <row r="82" spans="2:6" x14ac:dyDescent="0.3">
      <c r="B82" s="47" t="s">
        <v>5</v>
      </c>
      <c r="C82" s="307" t="str">
        <f>OUTROS_INSUMOS_DESCRICAO</f>
        <v>Outros (Especificar)</v>
      </c>
      <c r="D82" s="225"/>
      <c r="E82" s="225"/>
      <c r="F82" s="50">
        <f>OUTROS_INSUMOS</f>
        <v>0</v>
      </c>
    </row>
    <row r="83" spans="2:6" x14ac:dyDescent="0.3">
      <c r="B83" s="308" t="s">
        <v>48</v>
      </c>
      <c r="C83" s="308"/>
      <c r="D83" s="308"/>
      <c r="E83" s="308"/>
      <c r="F83" s="46">
        <f>SUM(F79:F82)</f>
        <v>0</v>
      </c>
    </row>
    <row r="84" spans="2:6" ht="7.5" customHeight="1" x14ac:dyDescent="0.3">
      <c r="B84" s="20"/>
      <c r="C84" s="21"/>
      <c r="D84" s="22"/>
      <c r="E84" s="18"/>
      <c r="F84" s="18"/>
    </row>
    <row r="85" spans="2:6" ht="15" customHeight="1" x14ac:dyDescent="0.3">
      <c r="B85" s="264" t="s">
        <v>78</v>
      </c>
      <c r="C85" s="264"/>
      <c r="D85" s="264"/>
      <c r="E85" s="264"/>
      <c r="F85" s="264"/>
    </row>
    <row r="86" spans="2:6" x14ac:dyDescent="0.3">
      <c r="B86" s="1">
        <v>6</v>
      </c>
      <c r="C86" s="216" t="s">
        <v>22</v>
      </c>
      <c r="D86" s="216"/>
      <c r="E86" s="5" t="s">
        <v>1</v>
      </c>
      <c r="F86" s="5" t="s">
        <v>13</v>
      </c>
    </row>
    <row r="87" spans="2:6" x14ac:dyDescent="0.3">
      <c r="B87" s="1" t="s">
        <v>2</v>
      </c>
      <c r="C87" s="277" t="s">
        <v>80</v>
      </c>
      <c r="D87" s="277"/>
      <c r="E87" s="64">
        <f>PERC_CUSTOS_INDIRETOS</f>
        <v>0</v>
      </c>
      <c r="F87" s="61">
        <f>PERC_CUSTOS_INDIRETOS%*(MOD_1_REMUNERACAO_12X36_NOT+MOD_2_ENCARGOS_BENEFICIOS_12X36_NOT+MOD_3_PROVISAO_RESCISAO_12X36_NOT+MOD_4_CUSTO_REPOSICAO_12X36_NOT+MOD_5_INSUMOS_12X36_NOT)</f>
        <v>0</v>
      </c>
    </row>
    <row r="88" spans="2:6" ht="15.75" customHeight="1" x14ac:dyDescent="0.3">
      <c r="B88" s="2" t="s">
        <v>3</v>
      </c>
      <c r="C88" s="276" t="s">
        <v>34</v>
      </c>
      <c r="D88" s="276"/>
      <c r="E88" s="51">
        <f>PERC_LUCRO</f>
        <v>0</v>
      </c>
      <c r="F88" s="39">
        <f>PERC_LUCRO%*(MOD_1_REMUNERACAO_12X36_NOT+MOD_2_ENCARGOS_BENEFICIOS_12X36_NOT+MOD_3_PROVISAO_RESCISAO_12X36_NOT+MOD_4_CUSTO_REPOSICAO_12X36_NOT+MOD_5_INSUMOS_12X36_NOT+AL_6_A_CUSTOS_INDIRETOS_12X36_NOT)</f>
        <v>0</v>
      </c>
    </row>
    <row r="89" spans="2:6" x14ac:dyDescent="0.3">
      <c r="B89" s="2" t="s">
        <v>4</v>
      </c>
      <c r="C89" s="277" t="s">
        <v>23</v>
      </c>
      <c r="D89" s="277"/>
      <c r="E89" s="64">
        <f>SUM(E90:E92)</f>
        <v>0</v>
      </c>
      <c r="F89" s="61">
        <f>SUM(F90:F92)</f>
        <v>0</v>
      </c>
    </row>
    <row r="90" spans="2:6" ht="15.75" customHeight="1" x14ac:dyDescent="0.3">
      <c r="B90" s="34" t="s">
        <v>81</v>
      </c>
      <c r="C90" s="306" t="s">
        <v>25</v>
      </c>
      <c r="D90" s="306"/>
      <c r="E90" s="35">
        <f>PERC_PIS</f>
        <v>0</v>
      </c>
      <c r="F90" s="66">
        <f>((MOD_1_REMUNERACAO_12X36_NOT+MOD_2_ENCARGOS_BENEFICIOS_12X36_NOT+MOD_3_PROVISAO_RESCISAO_12X36_NOT+MOD_4_CUSTO_REPOSICAO_12X36_NOT+MOD_5_INSUMOS_12X36_NOT+AL_6_A_CUSTOS_INDIRETOS_12X36_NOT+AL_6_B_LUCRO_12X36_NOT)*PERC_PIS%)/(1-PERC_TRIBUTOS%)</f>
        <v>0</v>
      </c>
    </row>
    <row r="91" spans="2:6" x14ac:dyDescent="0.3">
      <c r="B91" s="34" t="s">
        <v>82</v>
      </c>
      <c r="C91" s="309" t="s">
        <v>26</v>
      </c>
      <c r="D91" s="309"/>
      <c r="E91" s="65">
        <f>PERC_COFINS</f>
        <v>0</v>
      </c>
      <c r="F91" s="67">
        <f>((MOD_1_REMUNERACAO_12X36_NOT+MOD_2_ENCARGOS_BENEFICIOS_12X36_NOT+MOD_3_PROVISAO_RESCISAO_12X36_NOT+MOD_4_CUSTO_REPOSICAO_12X36_NOT+MOD_5_INSUMOS_12X36_NOT+AL_6_A_CUSTOS_INDIRETOS_12X36_NOT+AL_6_B_LUCRO_12X36_NOT)*PERC_COFINS%)/(1-PERC_TRIBUTOS%)</f>
        <v>0</v>
      </c>
    </row>
    <row r="92" spans="2:6" s="106" customFormat="1" x14ac:dyDescent="0.3">
      <c r="B92" s="34" t="s">
        <v>83</v>
      </c>
      <c r="C92" s="306" t="s">
        <v>27</v>
      </c>
      <c r="D92" s="306"/>
      <c r="E92" s="35">
        <f>PERC_ISS</f>
        <v>0</v>
      </c>
      <c r="F92" s="66">
        <f>((MOD_1_REMUNERACAO_12X36_NOT+MOD_2_ENCARGOS_BENEFICIOS_12X36_NOT+MOD_3_PROVISAO_RESCISAO_12X36_NOT+MOD_4_CUSTO_REPOSICAO_12X36_NOT+MOD_5_INSUMOS_12X36_NOT+AL_6_A_CUSTOS_INDIRETOS_12X36_NOT+AL_6_B_LUCRO_12X36_NOT)*PERC_ISS%)/(1-PERC_TRIBUTOS%)</f>
        <v>0</v>
      </c>
    </row>
    <row r="93" spans="2:6" s="106" customFormat="1" x14ac:dyDescent="0.3">
      <c r="B93" s="220" t="s">
        <v>48</v>
      </c>
      <c r="C93" s="221"/>
      <c r="D93" s="221"/>
      <c r="E93" s="222"/>
      <c r="F93" s="40">
        <f>AL_6_A_CUSTOS_INDIRETOS_12X36_NOT+AL_6_B_LUCRO_12X36_NOT+AL_6_C_TRIBUTOS_12X36_NOT</f>
        <v>0</v>
      </c>
    </row>
    <row r="94" spans="2:6" s="106" customFormat="1" ht="20.25" x14ac:dyDescent="0.3">
      <c r="B94" s="55" t="s">
        <v>55</v>
      </c>
      <c r="C94" s="19"/>
      <c r="D94" s="19"/>
      <c r="E94" s="19"/>
      <c r="F94" s="27"/>
    </row>
    <row r="95" spans="2:6" s="107" customFormat="1" ht="16.5" customHeight="1" x14ac:dyDescent="0.3">
      <c r="B95" s="2" t="s">
        <v>100</v>
      </c>
      <c r="C95" s="213" t="s">
        <v>101</v>
      </c>
      <c r="D95" s="214"/>
      <c r="E95" s="215"/>
      <c r="F95" s="5" t="s">
        <v>19</v>
      </c>
    </row>
    <row r="96" spans="2:6" s="106" customFormat="1" x14ac:dyDescent="0.3">
      <c r="B96" s="1">
        <v>1</v>
      </c>
      <c r="C96" s="277" t="s">
        <v>9</v>
      </c>
      <c r="D96" s="277"/>
      <c r="E96" s="277"/>
      <c r="F96" s="61">
        <f>MOD_1_REMUNERACAO_12X36_NOT</f>
        <v>0</v>
      </c>
    </row>
    <row r="97" spans="2:6" s="108" customFormat="1" ht="16.5" customHeight="1" x14ac:dyDescent="0.3">
      <c r="B97" s="2">
        <v>2</v>
      </c>
      <c r="C97" s="276" t="s">
        <v>102</v>
      </c>
      <c r="D97" s="276"/>
      <c r="E97" s="276"/>
      <c r="F97" s="39">
        <f>MOD_2_ENCARGOS_BENEFICIOS_12X36_NOT</f>
        <v>0</v>
      </c>
    </row>
    <row r="98" spans="2:6" s="108" customFormat="1" x14ac:dyDescent="0.3">
      <c r="B98" s="2">
        <v>3</v>
      </c>
      <c r="C98" s="277" t="s">
        <v>50</v>
      </c>
      <c r="D98" s="277"/>
      <c r="E98" s="277"/>
      <c r="F98" s="61">
        <f>MOD_3_PROVISAO_RESCISAO_12X36_NOT</f>
        <v>0</v>
      </c>
    </row>
    <row r="99" spans="2:6" s="108" customFormat="1" x14ac:dyDescent="0.3">
      <c r="B99" s="2">
        <v>4</v>
      </c>
      <c r="C99" s="276" t="s">
        <v>53</v>
      </c>
      <c r="D99" s="276"/>
      <c r="E99" s="276"/>
      <c r="F99" s="39">
        <f>MOD_4_CUSTO_REPOSICAO_12X36_NOT</f>
        <v>0</v>
      </c>
    </row>
    <row r="100" spans="2:6" s="108" customFormat="1" x14ac:dyDescent="0.3">
      <c r="B100" s="2">
        <v>5</v>
      </c>
      <c r="C100" s="277" t="s">
        <v>0</v>
      </c>
      <c r="D100" s="277"/>
      <c r="E100" s="277"/>
      <c r="F100" s="61">
        <f>MOD_5_INSUMOS_12X36_NOT</f>
        <v>0</v>
      </c>
    </row>
    <row r="101" spans="2:6" s="108" customFormat="1" x14ac:dyDescent="0.3">
      <c r="B101" s="2">
        <v>6</v>
      </c>
      <c r="C101" s="276" t="s">
        <v>22</v>
      </c>
      <c r="D101" s="276"/>
      <c r="E101" s="276"/>
      <c r="F101" s="39">
        <f>MOD_6_CUSTOS_IND_LUCRO_TRIB_12X36_NOT</f>
        <v>0</v>
      </c>
    </row>
    <row r="102" spans="2:6" ht="16.5" customHeight="1" x14ac:dyDescent="0.3">
      <c r="B102" s="279" t="s">
        <v>103</v>
      </c>
      <c r="C102" s="279"/>
      <c r="D102" s="279"/>
      <c r="E102" s="279"/>
      <c r="F102" s="40">
        <f>SUM(F96:F101)</f>
        <v>0</v>
      </c>
    </row>
    <row r="103" spans="2:6" ht="16.5" customHeight="1" x14ac:dyDescent="0.3">
      <c r="B103" s="279" t="s">
        <v>32</v>
      </c>
      <c r="C103" s="279"/>
      <c r="D103" s="279"/>
      <c r="E103" s="279"/>
      <c r="F103" s="40">
        <f>F102*EMPREG_POR_POSTO_12X36_NOT</f>
        <v>0</v>
      </c>
    </row>
  </sheetData>
  <mergeCells count="92">
    <mergeCell ref="B102:E102"/>
    <mergeCell ref="B103:E103"/>
    <mergeCell ref="C96:E96"/>
    <mergeCell ref="C97:E97"/>
    <mergeCell ref="C98:E98"/>
    <mergeCell ref="C99:E99"/>
    <mergeCell ref="C100:E100"/>
    <mergeCell ref="C101:E101"/>
    <mergeCell ref="C95:E95"/>
    <mergeCell ref="C82:E82"/>
    <mergeCell ref="B83:E83"/>
    <mergeCell ref="B85:F85"/>
    <mergeCell ref="C86:D86"/>
    <mergeCell ref="C87:D87"/>
    <mergeCell ref="C88:D88"/>
    <mergeCell ref="C89:D89"/>
    <mergeCell ref="C90:D90"/>
    <mergeCell ref="C91:D91"/>
    <mergeCell ref="C92:D92"/>
    <mergeCell ref="B93:E93"/>
    <mergeCell ref="C81:E81"/>
    <mergeCell ref="C67:D67"/>
    <mergeCell ref="C68:D68"/>
    <mergeCell ref="C69:D69"/>
    <mergeCell ref="C70:D70"/>
    <mergeCell ref="B71:E71"/>
    <mergeCell ref="C73:E73"/>
    <mergeCell ref="C74:E74"/>
    <mergeCell ref="B75:E75"/>
    <mergeCell ref="C78:E78"/>
    <mergeCell ref="C79:E79"/>
    <mergeCell ref="C80:E80"/>
    <mergeCell ref="C66:D66"/>
    <mergeCell ref="C51:E51"/>
    <mergeCell ref="C52:E52"/>
    <mergeCell ref="C53:E53"/>
    <mergeCell ref="B54:E54"/>
    <mergeCell ref="C56:D56"/>
    <mergeCell ref="C57:D57"/>
    <mergeCell ref="C58:D58"/>
    <mergeCell ref="C59:D59"/>
    <mergeCell ref="B60:E60"/>
    <mergeCell ref="C64:D64"/>
    <mergeCell ref="C65:D65"/>
    <mergeCell ref="C50:E50"/>
    <mergeCell ref="C38:D38"/>
    <mergeCell ref="C39:D39"/>
    <mergeCell ref="C40:D40"/>
    <mergeCell ref="C41:D41"/>
    <mergeCell ref="C42:D42"/>
    <mergeCell ref="C43:D43"/>
    <mergeCell ref="C44:D44"/>
    <mergeCell ref="C45:D45"/>
    <mergeCell ref="B46:E46"/>
    <mergeCell ref="C48:E48"/>
    <mergeCell ref="C49:E49"/>
    <mergeCell ref="C37:D37"/>
    <mergeCell ref="C24:E24"/>
    <mergeCell ref="C25:E25"/>
    <mergeCell ref="C26:E26"/>
    <mergeCell ref="C27:E27"/>
    <mergeCell ref="C28:E28"/>
    <mergeCell ref="B29:E29"/>
    <mergeCell ref="C32:D32"/>
    <mergeCell ref="C33:D33"/>
    <mergeCell ref="C34:D34"/>
    <mergeCell ref="B35:E35"/>
    <mergeCell ref="B36:F36"/>
    <mergeCell ref="C23:E23"/>
    <mergeCell ref="C11:E11"/>
    <mergeCell ref="C12:E12"/>
    <mergeCell ref="C14:D14"/>
    <mergeCell ref="E14:F14"/>
    <mergeCell ref="D15:F15"/>
    <mergeCell ref="D16:F16"/>
    <mergeCell ref="C17:E17"/>
    <mergeCell ref="B18:F18"/>
    <mergeCell ref="B19:E19"/>
    <mergeCell ref="C21:E21"/>
    <mergeCell ref="C22:E22"/>
    <mergeCell ref="C10:E10"/>
    <mergeCell ref="B1:F1"/>
    <mergeCell ref="B2:D2"/>
    <mergeCell ref="B3:F3"/>
    <mergeCell ref="B4:F4"/>
    <mergeCell ref="B5:C5"/>
    <mergeCell ref="D5:F5"/>
    <mergeCell ref="B6:C6"/>
    <mergeCell ref="D6:E6"/>
    <mergeCell ref="B7:F7"/>
    <mergeCell ref="C8:E8"/>
    <mergeCell ref="D9:F9"/>
  </mergeCells>
  <printOptions horizontalCentered="1"/>
  <pageMargins left="0.08" right="0.05" top="0.19685039370078741" bottom="0.15748031496062992" header="0.19685039370078741" footer="0.1574803149606299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50178B-BBB3-4EDB-89FB-0754EFE0FD90}">
  <dimension ref="B1:F108"/>
  <sheetViews>
    <sheetView topLeftCell="A46" zoomScaleNormal="100" zoomScaleSheetLayoutView="100" workbookViewId="0">
      <selection activeCell="F107" sqref="F107"/>
    </sheetView>
  </sheetViews>
  <sheetFormatPr defaultRowHeight="16.5" x14ac:dyDescent="0.3"/>
  <cols>
    <col min="1" max="1" width="2.7109375" style="17" customWidth="1"/>
    <col min="2" max="2" width="8.7109375" style="17" customWidth="1"/>
    <col min="3" max="3" width="52.5703125" style="23" customWidth="1"/>
    <col min="4" max="4" width="7.85546875" style="23" customWidth="1"/>
    <col min="5" max="5" width="13.5703125" style="23" customWidth="1"/>
    <col min="6" max="6" width="15.42578125" style="23" bestFit="1" customWidth="1"/>
    <col min="7" max="16384" width="9.140625" style="17"/>
  </cols>
  <sheetData>
    <row r="1" spans="2:6" ht="20.25" x14ac:dyDescent="0.35">
      <c r="B1" s="282" t="str">
        <f>RAMO</f>
        <v>RAMO:</v>
      </c>
      <c r="C1" s="283"/>
      <c r="D1" s="283"/>
      <c r="E1" s="283"/>
      <c r="F1" s="284"/>
    </row>
    <row r="2" spans="2:6" ht="20.25" x14ac:dyDescent="0.35">
      <c r="B2" s="285" t="str">
        <f>UG</f>
        <v>UNIDADE GESTORA (SIGLA):</v>
      </c>
      <c r="C2" s="286"/>
      <c r="D2" s="287"/>
      <c r="E2" s="111" t="s">
        <v>59</v>
      </c>
      <c r="F2" s="112" t="str">
        <f>DATA_DO_ORCAMENTO_ESTIMATIVO</f>
        <v>XX/XX/20XX</v>
      </c>
    </row>
    <row r="3" spans="2:6" s="96" customFormat="1" ht="25.5" x14ac:dyDescent="0.5">
      <c r="B3" s="237" t="s">
        <v>58</v>
      </c>
      <c r="C3" s="237"/>
      <c r="D3" s="237"/>
      <c r="E3" s="237"/>
      <c r="F3" s="237"/>
    </row>
    <row r="4" spans="2:6" s="96" customFormat="1" ht="15.95" customHeight="1" x14ac:dyDescent="0.3">
      <c r="B4" s="238" t="s">
        <v>99</v>
      </c>
      <c r="C4" s="238"/>
      <c r="D4" s="238"/>
      <c r="E4" s="238"/>
      <c r="F4" s="238"/>
    </row>
    <row r="5" spans="2:6" s="96" customFormat="1" ht="15.95" customHeight="1" x14ac:dyDescent="0.3">
      <c r="B5" s="246" t="s">
        <v>235</v>
      </c>
      <c r="C5" s="246"/>
      <c r="D5" s="288" t="str">
        <f>NUMERO_PROCESSO</f>
        <v>X.XX.XXX.XXXXXX/20XX-XX</v>
      </c>
      <c r="E5" s="288"/>
      <c r="F5" s="288"/>
    </row>
    <row r="6" spans="2:6" s="96" customFormat="1" ht="15.75" customHeight="1" x14ac:dyDescent="0.3">
      <c r="B6" s="250" t="s">
        <v>236</v>
      </c>
      <c r="C6" s="250"/>
      <c r="D6" s="289" t="str">
        <f>MODALIDADE_DE_LICITACAO</f>
        <v>Pregão nº</v>
      </c>
      <c r="E6" s="289"/>
      <c r="F6" s="116" t="str">
        <f>NUMERO_PREGAO</f>
        <v>XX/20XX</v>
      </c>
    </row>
    <row r="7" spans="2:6" s="97" customFormat="1" ht="15.75" customHeight="1" x14ac:dyDescent="0.3">
      <c r="B7" s="290" t="s">
        <v>60</v>
      </c>
      <c r="C7" s="290"/>
      <c r="D7" s="290"/>
      <c r="E7" s="290"/>
      <c r="F7" s="290"/>
    </row>
    <row r="8" spans="2:6" s="96" customFormat="1" ht="18" customHeight="1" x14ac:dyDescent="0.3">
      <c r="B8" s="29" t="s">
        <v>2</v>
      </c>
      <c r="C8" s="246" t="s">
        <v>65</v>
      </c>
      <c r="D8" s="246"/>
      <c r="E8" s="246"/>
      <c r="F8" s="117" t="str">
        <f>DATA_APRESENTACAO_PROPOSTA</f>
        <v>XX/XX/20XX</v>
      </c>
    </row>
    <row r="9" spans="2:6" s="96" customFormat="1" ht="15.95" customHeight="1" x14ac:dyDescent="0.15">
      <c r="B9" s="1" t="s">
        <v>3</v>
      </c>
      <c r="C9" s="70" t="s">
        <v>38</v>
      </c>
      <c r="D9" s="291" t="str">
        <f>IF(LOCAL_DE_EXECUCAO="","",LOCAL_DE_EXECUCAO)</f>
        <v/>
      </c>
      <c r="E9" s="291"/>
      <c r="F9" s="291"/>
    </row>
    <row r="10" spans="2:6" s="96" customFormat="1" ht="18.75" customHeight="1" x14ac:dyDescent="0.3">
      <c r="B10" s="29" t="s">
        <v>4</v>
      </c>
      <c r="C10" s="246" t="s">
        <v>39</v>
      </c>
      <c r="D10" s="246"/>
      <c r="E10" s="246"/>
      <c r="F10" s="118" t="str">
        <f>ACORDO_COLETIVO</f>
        <v>XX/20XX</v>
      </c>
    </row>
    <row r="11" spans="2:6" s="96" customFormat="1" ht="15.95" customHeight="1" x14ac:dyDescent="0.3">
      <c r="B11" s="1" t="s">
        <v>5</v>
      </c>
      <c r="C11" s="291" t="s">
        <v>66</v>
      </c>
      <c r="D11" s="291"/>
      <c r="E11" s="291"/>
      <c r="F11" s="119">
        <f>NUMERO_MESES_EXEC_CONTRATUAL</f>
        <v>12</v>
      </c>
    </row>
    <row r="12" spans="2:6" s="96" customFormat="1" x14ac:dyDescent="0.3">
      <c r="B12" s="1" t="s">
        <v>6</v>
      </c>
      <c r="C12" s="292" t="s">
        <v>87</v>
      </c>
      <c r="D12" s="292"/>
      <c r="E12" s="292"/>
      <c r="F12" s="100">
        <f>IF(QTDE_DE_POSTOS_VIG_44_ÑLETAL=0,"",QTDE_DE_POSTOS_VIG_44_ÑLETAL)</f>
        <v>6</v>
      </c>
    </row>
    <row r="13" spans="2:6" s="96" customFormat="1" ht="7.5" customHeight="1" x14ac:dyDescent="0.3">
      <c r="B13" s="120"/>
      <c r="C13" s="121"/>
      <c r="D13" s="121"/>
      <c r="E13" s="121"/>
      <c r="F13" s="102"/>
    </row>
    <row r="14" spans="2:6" s="96" customFormat="1" ht="21" customHeight="1" x14ac:dyDescent="0.5">
      <c r="B14" s="104" t="s">
        <v>216</v>
      </c>
      <c r="C14" s="17"/>
      <c r="D14" s="17"/>
      <c r="E14" s="17"/>
      <c r="F14" s="17"/>
    </row>
    <row r="15" spans="2:6" s="96" customFormat="1" x14ac:dyDescent="0.3">
      <c r="B15" s="29">
        <v>1</v>
      </c>
      <c r="C15" s="316" t="s">
        <v>62</v>
      </c>
      <c r="D15" s="317"/>
      <c r="E15" s="313" t="str">
        <f>TIPO_DE_SERVICO</f>
        <v>Vigilância</v>
      </c>
      <c r="F15" s="315"/>
    </row>
    <row r="16" spans="2:6" s="97" customFormat="1" x14ac:dyDescent="0.3">
      <c r="B16" s="29">
        <v>2</v>
      </c>
      <c r="C16" s="31" t="s">
        <v>61</v>
      </c>
      <c r="D16" s="258">
        <f>CBO_VIGI</f>
        <v>0</v>
      </c>
      <c r="E16" s="259"/>
      <c r="F16" s="260"/>
    </row>
    <row r="17" spans="2:6" s="96" customFormat="1" ht="15" customHeight="1" x14ac:dyDescent="0.3">
      <c r="B17" s="29">
        <v>3</v>
      </c>
      <c r="C17" s="59" t="s">
        <v>63</v>
      </c>
      <c r="D17" s="313">
        <f>CATEGORIA_PROFISSIONAL</f>
        <v>0</v>
      </c>
      <c r="E17" s="314"/>
      <c r="F17" s="315"/>
    </row>
    <row r="18" spans="2:6" s="96" customFormat="1" ht="15" customHeight="1" x14ac:dyDescent="0.3">
      <c r="B18" s="29">
        <v>4</v>
      </c>
      <c r="C18" s="205" t="s">
        <v>64</v>
      </c>
      <c r="D18" s="318"/>
      <c r="E18" s="206"/>
      <c r="F18" s="133" t="str">
        <f>DATA_BASE_CATEGORIA</f>
        <v>XX/XX/20XX</v>
      </c>
    </row>
    <row r="19" spans="2:6" s="96" customFormat="1" ht="15" customHeight="1" x14ac:dyDescent="0.3">
      <c r="B19" s="32"/>
      <c r="C19" s="33"/>
      <c r="D19" s="33"/>
      <c r="E19" s="33"/>
      <c r="F19" s="103"/>
    </row>
    <row r="20" spans="2:6" s="122" customFormat="1" ht="30" customHeight="1" x14ac:dyDescent="0.3">
      <c r="B20" s="296" t="s">
        <v>42</v>
      </c>
      <c r="C20" s="296"/>
      <c r="D20" s="296"/>
      <c r="E20" s="296"/>
      <c r="F20" s="296"/>
    </row>
    <row r="21" spans="2:6" x14ac:dyDescent="0.3">
      <c r="B21" s="216" t="s">
        <v>54</v>
      </c>
      <c r="C21" s="216"/>
      <c r="D21" s="216"/>
      <c r="E21" s="216"/>
      <c r="F21" s="115">
        <v>1</v>
      </c>
    </row>
    <row r="22" spans="2:6" x14ac:dyDescent="0.3">
      <c r="B22" s="54" t="s">
        <v>8</v>
      </c>
      <c r="E22" s="18"/>
      <c r="F22" s="18"/>
    </row>
    <row r="23" spans="2:6" x14ac:dyDescent="0.3">
      <c r="B23" s="52">
        <v>1</v>
      </c>
      <c r="C23" s="223" t="s">
        <v>9</v>
      </c>
      <c r="D23" s="223"/>
      <c r="E23" s="223"/>
      <c r="F23" s="53" t="s">
        <v>13</v>
      </c>
    </row>
    <row r="24" spans="2:6" x14ac:dyDescent="0.3">
      <c r="B24" s="52" t="s">
        <v>2</v>
      </c>
      <c r="C24" s="319" t="s">
        <v>94</v>
      </c>
      <c r="D24" s="319"/>
      <c r="E24" s="319"/>
      <c r="F24" s="60">
        <f>SALARIO_BASE_VIGI</f>
        <v>0</v>
      </c>
    </row>
    <row r="25" spans="2:6" x14ac:dyDescent="0.3">
      <c r="B25" s="52" t="s">
        <v>3</v>
      </c>
      <c r="C25" s="225" t="s">
        <v>96</v>
      </c>
      <c r="D25" s="225"/>
      <c r="E25" s="225"/>
      <c r="F25" s="14">
        <f>PERC_ADIC_PERIC%*SALARIO_BASE_VIGI</f>
        <v>0</v>
      </c>
    </row>
    <row r="26" spans="2:6" x14ac:dyDescent="0.3">
      <c r="B26" s="1" t="s">
        <v>4</v>
      </c>
      <c r="C26" s="294" t="str">
        <f>OUTROS_REMUNERACAO_1_DESCRICAO</f>
        <v>Outras Remunerações 1 (Especificar)</v>
      </c>
      <c r="D26" s="295"/>
      <c r="E26" s="298"/>
      <c r="F26" s="60">
        <f>OUTROS_REMUNERACAO_1</f>
        <v>0</v>
      </c>
    </row>
    <row r="27" spans="2:6" x14ac:dyDescent="0.3">
      <c r="B27" s="1" t="s">
        <v>5</v>
      </c>
      <c r="C27" s="299" t="str">
        <f>OUTROS_REMUNERACAO_2_DESCRICAO</f>
        <v>Outras Remunerações 2 (Especificar)</v>
      </c>
      <c r="D27" s="300"/>
      <c r="E27" s="301"/>
      <c r="F27" s="14">
        <f>OUTROS_REMUNERACAO_2</f>
        <v>0</v>
      </c>
    </row>
    <row r="28" spans="2:6" x14ac:dyDescent="0.3">
      <c r="B28" s="1" t="s">
        <v>6</v>
      </c>
      <c r="C28" s="294" t="str">
        <f>OUTROS_REMUNERACAO_3_DESCRICAO</f>
        <v>Outras Remunerações 3 (Especificar)</v>
      </c>
      <c r="D28" s="295"/>
      <c r="E28" s="298"/>
      <c r="F28" s="60">
        <f>OUTROS_REMUNERACAO_3</f>
        <v>0</v>
      </c>
    </row>
    <row r="29" spans="2:6" x14ac:dyDescent="0.3">
      <c r="B29" s="308" t="s">
        <v>48</v>
      </c>
      <c r="C29" s="308"/>
      <c r="D29" s="308"/>
      <c r="E29" s="308"/>
      <c r="F29" s="46">
        <f>SUM(F24:F28)</f>
        <v>0</v>
      </c>
    </row>
    <row r="30" spans="2:6" ht="10.5" customHeight="1" x14ac:dyDescent="0.3">
      <c r="B30" s="20"/>
      <c r="C30" s="21"/>
      <c r="D30" s="22"/>
      <c r="E30" s="18"/>
      <c r="F30" s="18"/>
    </row>
    <row r="31" spans="2:6" x14ac:dyDescent="0.3">
      <c r="B31" s="54" t="s">
        <v>67</v>
      </c>
      <c r="E31" s="25"/>
      <c r="F31" s="25"/>
    </row>
    <row r="32" spans="2:6" x14ac:dyDescent="0.3">
      <c r="B32" s="54" t="s">
        <v>69</v>
      </c>
      <c r="C32" s="16"/>
      <c r="D32" s="26"/>
      <c r="E32" s="24"/>
      <c r="F32" s="24"/>
    </row>
    <row r="33" spans="2:6" x14ac:dyDescent="0.3">
      <c r="B33" s="52" t="s">
        <v>68</v>
      </c>
      <c r="C33" s="320" t="s">
        <v>95</v>
      </c>
      <c r="D33" s="320"/>
      <c r="E33" s="53" t="s">
        <v>1</v>
      </c>
      <c r="F33" s="53" t="s">
        <v>13</v>
      </c>
    </row>
    <row r="34" spans="2:6" x14ac:dyDescent="0.3">
      <c r="B34" s="52" t="s">
        <v>2</v>
      </c>
      <c r="C34" s="224" t="s">
        <v>49</v>
      </c>
      <c r="D34" s="224"/>
      <c r="E34" s="68">
        <f>(1/12)*100</f>
        <v>8.33</v>
      </c>
      <c r="F34" s="61">
        <f>PERC_DEC_TERC%*MOD_1_REMUNERACAO_44H</f>
        <v>0</v>
      </c>
    </row>
    <row r="35" spans="2:6" s="21" customFormat="1" x14ac:dyDescent="0.3">
      <c r="B35" s="48" t="s">
        <v>3</v>
      </c>
      <c r="C35" s="207" t="s">
        <v>97</v>
      </c>
      <c r="D35" s="209"/>
      <c r="E35" s="57">
        <f>(1/3)/12*100</f>
        <v>2.78</v>
      </c>
      <c r="F35" s="39">
        <f>PERC_ADIC_FERIAS%*MOD_1_REMUNERACAO_44H</f>
        <v>0</v>
      </c>
    </row>
    <row r="36" spans="2:6" s="105" customFormat="1" x14ac:dyDescent="0.3">
      <c r="B36" s="321" t="s">
        <v>48</v>
      </c>
      <c r="C36" s="322"/>
      <c r="D36" s="322"/>
      <c r="E36" s="323"/>
      <c r="F36" s="44">
        <f>SUM(F34:F35)</f>
        <v>0</v>
      </c>
    </row>
    <row r="37" spans="2:6" s="105" customFormat="1" ht="31.5" customHeight="1" x14ac:dyDescent="0.3">
      <c r="B37" s="324" t="s">
        <v>70</v>
      </c>
      <c r="C37" s="324"/>
      <c r="D37" s="324"/>
      <c r="E37" s="324"/>
      <c r="F37" s="324"/>
    </row>
    <row r="38" spans="2:6" s="105" customFormat="1" ht="33.75" customHeight="1" x14ac:dyDescent="0.3">
      <c r="B38" s="52" t="s">
        <v>71</v>
      </c>
      <c r="C38" s="325" t="s">
        <v>98</v>
      </c>
      <c r="D38" s="325"/>
      <c r="E38" s="53" t="s">
        <v>1</v>
      </c>
      <c r="F38" s="53" t="s">
        <v>13</v>
      </c>
    </row>
    <row r="39" spans="2:6" x14ac:dyDescent="0.3">
      <c r="B39" s="52" t="s">
        <v>2</v>
      </c>
      <c r="C39" s="224" t="s">
        <v>43</v>
      </c>
      <c r="D39" s="224"/>
      <c r="E39" s="68">
        <v>20</v>
      </c>
      <c r="F39" s="61">
        <f>PERC_INSS%*(MOD_1_REMUNERACAO_44H+SUBMOD_2_1_DEC_TERC_ADIC_FERIAS_44H)</f>
        <v>0</v>
      </c>
    </row>
    <row r="40" spans="2:6" s="96" customFormat="1" x14ac:dyDescent="0.15">
      <c r="B40" s="48" t="s">
        <v>3</v>
      </c>
      <c r="C40" s="225" t="s">
        <v>45</v>
      </c>
      <c r="D40" s="225"/>
      <c r="E40" s="58">
        <v>2.5</v>
      </c>
      <c r="F40" s="39">
        <f>PERC_SAL_EDUCACAO%*(MOD_1_REMUNERACAO_44H+SUBMOD_2_1_DEC_TERC_ADIC_FERIAS_44H)</f>
        <v>0</v>
      </c>
    </row>
    <row r="41" spans="2:6" s="96" customFormat="1" x14ac:dyDescent="0.15">
      <c r="B41" s="48" t="s">
        <v>4</v>
      </c>
      <c r="C41" s="224" t="s">
        <v>92</v>
      </c>
      <c r="D41" s="224"/>
      <c r="E41" s="68">
        <v>3</v>
      </c>
      <c r="F41" s="61">
        <f>PERC_RAT%*(MOD_1_REMUNERACAO_44H+SUBMOD_2_1_DEC_TERC_ADIC_FERIAS_44H)</f>
        <v>0</v>
      </c>
    </row>
    <row r="42" spans="2:6" s="96" customFormat="1" x14ac:dyDescent="0.15">
      <c r="B42" s="48" t="s">
        <v>5</v>
      </c>
      <c r="C42" s="225" t="s">
        <v>90</v>
      </c>
      <c r="D42" s="225"/>
      <c r="E42" s="57">
        <v>1.5</v>
      </c>
      <c r="F42" s="39">
        <f>PERC_SESC%*(MOD_1_REMUNERACAO_44H+SUBMOD_2_1_DEC_TERC_ADIC_FERIAS_44H)</f>
        <v>0</v>
      </c>
    </row>
    <row r="43" spans="2:6" s="96" customFormat="1" x14ac:dyDescent="0.15">
      <c r="B43" s="48" t="s">
        <v>6</v>
      </c>
      <c r="C43" s="224" t="s">
        <v>91</v>
      </c>
      <c r="D43" s="224"/>
      <c r="E43" s="68">
        <v>1</v>
      </c>
      <c r="F43" s="61">
        <f>PERC_SENAC%*(MOD_1_REMUNERACAO_44H+SUBMOD_2_1_DEC_TERC_ADIC_FERIAS_44H)</f>
        <v>0</v>
      </c>
    </row>
    <row r="44" spans="2:6" s="97" customFormat="1" x14ac:dyDescent="0.15">
      <c r="B44" s="48" t="s">
        <v>7</v>
      </c>
      <c r="C44" s="225" t="s">
        <v>47</v>
      </c>
      <c r="D44" s="225"/>
      <c r="E44" s="58">
        <v>0.6</v>
      </c>
      <c r="F44" s="39">
        <f>PERC_SEBRAE%*(MOD_1_REMUNERACAO_44H+SUBMOD_2_1_DEC_TERC_ADIC_FERIAS_44H)</f>
        <v>0</v>
      </c>
    </row>
    <row r="45" spans="2:6" s="97" customFormat="1" x14ac:dyDescent="0.15">
      <c r="B45" s="48" t="s">
        <v>10</v>
      </c>
      <c r="C45" s="224" t="s">
        <v>44</v>
      </c>
      <c r="D45" s="224"/>
      <c r="E45" s="68">
        <v>0.2</v>
      </c>
      <c r="F45" s="61">
        <f>PERC_INCRA%*(MOD_1_REMUNERACAO_44H+SUBMOD_2_1_DEC_TERC_ADIC_FERIAS_44H)</f>
        <v>0</v>
      </c>
    </row>
    <row r="46" spans="2:6" x14ac:dyDescent="0.3">
      <c r="B46" s="48" t="s">
        <v>11</v>
      </c>
      <c r="C46" s="225" t="s">
        <v>46</v>
      </c>
      <c r="D46" s="225"/>
      <c r="E46" s="58">
        <v>8</v>
      </c>
      <c r="F46" s="39">
        <f>PERC_FGTS%*(MOD_1_REMUNERACAO_44H+SUBMOD_2_1_DEC_TERC_ADIC_FERIAS_44H)</f>
        <v>0</v>
      </c>
    </row>
    <row r="47" spans="2:6" x14ac:dyDescent="0.3">
      <c r="B47" s="321" t="s">
        <v>48</v>
      </c>
      <c r="C47" s="322"/>
      <c r="D47" s="322"/>
      <c r="E47" s="323"/>
      <c r="F47" s="45">
        <f>SUM(F39:F46)</f>
        <v>0</v>
      </c>
    </row>
    <row r="48" spans="2:6" ht="15.75" customHeight="1" x14ac:dyDescent="0.3">
      <c r="B48" s="54" t="s">
        <v>73</v>
      </c>
      <c r="C48" s="97"/>
      <c r="D48" s="97"/>
      <c r="E48" s="97"/>
      <c r="F48" s="97"/>
    </row>
    <row r="49" spans="2:6" ht="15.75" customHeight="1" x14ac:dyDescent="0.3">
      <c r="B49" s="52" t="s">
        <v>93</v>
      </c>
      <c r="C49" s="223" t="s">
        <v>14</v>
      </c>
      <c r="D49" s="223"/>
      <c r="E49" s="223"/>
      <c r="F49" s="53" t="s">
        <v>13</v>
      </c>
    </row>
    <row r="50" spans="2:6" x14ac:dyDescent="0.3">
      <c r="B50" s="47" t="s">
        <v>2</v>
      </c>
      <c r="C50" s="294" t="s">
        <v>15</v>
      </c>
      <c r="D50" s="295"/>
      <c r="E50" s="298"/>
      <c r="F50" s="61">
        <f>IF(((TRANSPORTE_POR_DIA*DIAS_UTEIS_TRABALHADOS_NO_MES_44HORAS)-(PERC_DESC_TRANSP_REMUNERACAO%*(AL_1_A_SAL_BASE_44H)))&gt;0,((TRANSPORTE_POR_DIA*DIAS_UTEIS_TRABALHADOS_NO_MES_44HORAS)-(PERC_DESC_TRANSP_REMUNERACAO%*(AL_1_A_SAL_BASE_44H))),0)</f>
        <v>0</v>
      </c>
    </row>
    <row r="51" spans="2:6" s="105" customFormat="1" x14ac:dyDescent="0.3">
      <c r="B51" s="47" t="s">
        <v>3</v>
      </c>
      <c r="C51" s="207" t="s">
        <v>72</v>
      </c>
      <c r="D51" s="208"/>
      <c r="E51" s="209"/>
      <c r="F51" s="39">
        <f>ALIMENTACAO_POR_DIA*DIAS_UTEIS_TRABALHADOS_NO_MES_44HORAS</f>
        <v>0</v>
      </c>
    </row>
    <row r="52" spans="2:6" s="105" customFormat="1" x14ac:dyDescent="0.3">
      <c r="B52" s="29" t="s">
        <v>4</v>
      </c>
      <c r="C52" s="294" t="str">
        <f>OUTROS_BENEFICIOS_1_DESCRICAO</f>
        <v>Outros Benefícios 1 (Especificar)</v>
      </c>
      <c r="D52" s="295"/>
      <c r="E52" s="298"/>
      <c r="F52" s="61">
        <f>OUTROS_BENEFICIOS_1</f>
        <v>0</v>
      </c>
    </row>
    <row r="53" spans="2:6" s="105" customFormat="1" x14ac:dyDescent="0.3">
      <c r="B53" s="29" t="s">
        <v>5</v>
      </c>
      <c r="C53" s="299" t="str">
        <f>OUTROS_BENEFICIOS_2_DESCRICAO</f>
        <v>Outros Benefícios 2 (Especificar)</v>
      </c>
      <c r="D53" s="300"/>
      <c r="E53" s="301"/>
      <c r="F53" s="39">
        <f>OUTROS_BENEFICIOS_2</f>
        <v>0</v>
      </c>
    </row>
    <row r="54" spans="2:6" s="105" customFormat="1" x14ac:dyDescent="0.3">
      <c r="B54" s="29" t="s">
        <v>6</v>
      </c>
      <c r="C54" s="294" t="str">
        <f>OUTROS_BENEFICIOS_3_DESCRICAO</f>
        <v>Outros Benefícios 3 (Especificar)</v>
      </c>
      <c r="D54" s="295"/>
      <c r="E54" s="298"/>
      <c r="F54" s="61">
        <f>OUTROS_BENEFICIOS_3</f>
        <v>0</v>
      </c>
    </row>
    <row r="55" spans="2:6" s="105" customFormat="1" ht="15" customHeight="1" x14ac:dyDescent="0.3">
      <c r="B55" s="308" t="s">
        <v>48</v>
      </c>
      <c r="C55" s="308"/>
      <c r="D55" s="308"/>
      <c r="E55" s="308"/>
      <c r="F55" s="46">
        <f>SUM(F50:F54)</f>
        <v>0</v>
      </c>
    </row>
    <row r="56" spans="2:6" ht="10.5" customHeight="1" x14ac:dyDescent="0.3">
      <c r="B56" s="20"/>
      <c r="C56" s="21"/>
      <c r="D56" s="22"/>
      <c r="E56" s="18"/>
      <c r="F56" s="18"/>
    </row>
    <row r="57" spans="2:6" s="105" customFormat="1" x14ac:dyDescent="0.3">
      <c r="B57" s="54" t="s">
        <v>74</v>
      </c>
      <c r="C57" s="16"/>
      <c r="D57" s="26"/>
      <c r="E57" s="24"/>
      <c r="F57" s="24"/>
    </row>
    <row r="58" spans="2:6" s="105" customFormat="1" ht="15" customHeight="1" x14ac:dyDescent="0.3">
      <c r="B58" s="1">
        <v>3</v>
      </c>
      <c r="C58" s="216" t="s">
        <v>50</v>
      </c>
      <c r="D58" s="216"/>
      <c r="E58" s="5" t="s">
        <v>1</v>
      </c>
      <c r="F58" s="5" t="s">
        <v>13</v>
      </c>
    </row>
    <row r="59" spans="2:6" s="105" customFormat="1" x14ac:dyDescent="0.3">
      <c r="B59" s="1" t="s">
        <v>2</v>
      </c>
      <c r="C59" s="278" t="s">
        <v>51</v>
      </c>
      <c r="D59" s="278"/>
      <c r="E59" s="62">
        <f>PERC_AVISO_PREVIO_IND</f>
        <v>0.28999999999999998</v>
      </c>
      <c r="F59" s="61">
        <f>PERC_AVISO_PREVIO_IND%*(MOD_1_REMUNERACAO_44H+SUBMOD_2_1_DEC_TERC_ADIC_FERIAS_44H+AL_2_2_FGTS_44H+SUBMOD_2_3_BENEFICIOS_44H)</f>
        <v>0</v>
      </c>
    </row>
    <row r="60" spans="2:6" s="105" customFormat="1" x14ac:dyDescent="0.3">
      <c r="B60" s="2" t="s">
        <v>3</v>
      </c>
      <c r="C60" s="280" t="s">
        <v>52</v>
      </c>
      <c r="D60" s="280"/>
      <c r="E60" s="49">
        <f>PERC_AVISO_PREVIO_TRAB</f>
        <v>1.1599999999999999</v>
      </c>
      <c r="F60" s="39">
        <f>PERC_AVISO_PREVIO_TRAB%*(MOD_1_REMUNERACAO_44H+SUBMOD_2_1_DEC_TERC_ADIC_FERIAS_44H+SUBMOD_2_2_GPS_FGTS_44H+SUBMOD_2_3_BENEFICIOS_44H)</f>
        <v>0</v>
      </c>
    </row>
    <row r="61" spans="2:6" s="96" customFormat="1" x14ac:dyDescent="0.15">
      <c r="B61" s="2" t="s">
        <v>4</v>
      </c>
      <c r="C61" s="278" t="s">
        <v>244</v>
      </c>
      <c r="D61" s="278"/>
      <c r="E61" s="62">
        <f>PERC_MULTA_FGTS_AV_PREV_TRAB</f>
        <v>0.04</v>
      </c>
      <c r="F61" s="61">
        <f>PERC_MULTA_FGTS_AV_PREV_TRAB%*(MOD_1_REMUNERACAO_44H+SUBMOD_2_1_DEC_TERC_ADIC_FERIAS_44H)</f>
        <v>0</v>
      </c>
    </row>
    <row r="62" spans="2:6" s="96" customFormat="1" x14ac:dyDescent="0.3">
      <c r="B62" s="220" t="s">
        <v>48</v>
      </c>
      <c r="C62" s="221"/>
      <c r="D62" s="221"/>
      <c r="E62" s="222"/>
      <c r="F62" s="44">
        <f>SUM(F59:F61)</f>
        <v>0</v>
      </c>
    </row>
    <row r="63" spans="2:6" ht="10.5" customHeight="1" x14ac:dyDescent="0.3">
      <c r="B63" s="20"/>
      <c r="C63" s="21"/>
      <c r="D63" s="22"/>
      <c r="E63" s="18"/>
      <c r="F63" s="18"/>
    </row>
    <row r="64" spans="2:6" s="96" customFormat="1" ht="15.95" customHeight="1" x14ac:dyDescent="0.3">
      <c r="B64" s="54" t="s">
        <v>75</v>
      </c>
      <c r="C64" s="16"/>
      <c r="D64" s="26"/>
      <c r="E64" s="17"/>
      <c r="F64" s="17"/>
    </row>
    <row r="65" spans="2:6" s="96" customFormat="1" ht="15.95" customHeight="1" x14ac:dyDescent="0.3">
      <c r="B65" s="54" t="s">
        <v>104</v>
      </c>
      <c r="C65" s="16"/>
      <c r="D65" s="26"/>
      <c r="E65" s="24"/>
      <c r="F65" s="24"/>
    </row>
    <row r="66" spans="2:6" s="96" customFormat="1" x14ac:dyDescent="0.15">
      <c r="B66" s="1" t="s">
        <v>20</v>
      </c>
      <c r="C66" s="279" t="s">
        <v>105</v>
      </c>
      <c r="D66" s="279"/>
      <c r="E66" s="5" t="s">
        <v>1</v>
      </c>
      <c r="F66" s="5" t="s">
        <v>13</v>
      </c>
    </row>
    <row r="67" spans="2:6" s="96" customFormat="1" ht="15.95" customHeight="1" x14ac:dyDescent="0.15">
      <c r="B67" s="2" t="s">
        <v>2</v>
      </c>
      <c r="C67" s="277" t="s">
        <v>106</v>
      </c>
      <c r="D67" s="277"/>
      <c r="E67" s="62">
        <f>PERC_SUBSTITUTO_FERIAS</f>
        <v>8.33</v>
      </c>
      <c r="F67" s="61">
        <f>PERC_SUBSTITUTO_FERIAS%*(MOD_1_REMUNERACAO_44H+MOD_2_ENCARGOS_BENEFICIOS_44H+MOD_3_PROVISAO_RESCISAO_44H)</f>
        <v>0</v>
      </c>
    </row>
    <row r="68" spans="2:6" s="96" customFormat="1" ht="15.95" customHeight="1" x14ac:dyDescent="0.15">
      <c r="B68" s="2" t="s">
        <v>3</v>
      </c>
      <c r="C68" s="276" t="s">
        <v>107</v>
      </c>
      <c r="D68" s="276"/>
      <c r="E68" s="49">
        <f>PERC_SUBSTITUTO_AUSENCIAS_LEGAIS</f>
        <v>2.2200000000000002</v>
      </c>
      <c r="F68" s="39">
        <f>PERC_SUBSTITUTO_AUSENCIAS_LEGAIS%*(MOD_1_REMUNERACAO_44H+MOD_2_ENCARGOS_BENEFICIOS_44H+MOD_3_PROVISAO_RESCISAO_44H)</f>
        <v>0</v>
      </c>
    </row>
    <row r="69" spans="2:6" s="96" customFormat="1" ht="15.95" customHeight="1" x14ac:dyDescent="0.15">
      <c r="B69" s="2" t="s">
        <v>4</v>
      </c>
      <c r="C69" s="277" t="s">
        <v>108</v>
      </c>
      <c r="D69" s="277"/>
      <c r="E69" s="62">
        <f>PERC_SUBSTITUTO_LICENCA_PATERNIDADE</f>
        <v>7.0000000000000007E-2</v>
      </c>
      <c r="F69" s="61">
        <f>PERC_SUBSTITUTO_LICENCA_PATERNIDADE%*(MOD_1_REMUNERACAO_44H+MOD_2_ENCARGOS_BENEFICIOS_44H+MOD_3_PROVISAO_RESCISAO_44H)</f>
        <v>0</v>
      </c>
    </row>
    <row r="70" spans="2:6" s="96" customFormat="1" x14ac:dyDescent="0.15">
      <c r="B70" s="2" t="s">
        <v>5</v>
      </c>
      <c r="C70" s="276" t="s">
        <v>109</v>
      </c>
      <c r="D70" s="276"/>
      <c r="E70" s="49">
        <f>PERC_SUBSTITUTO_ACID_TRAB</f>
        <v>0.02</v>
      </c>
      <c r="F70" s="39">
        <f>PERC_SUBSTITUTO_ACID_TRAB%*(MOD_1_REMUNERACAO_44H+MOD_2_ENCARGOS_BENEFICIOS_44H+MOD_3_PROVISAO_RESCISAO_44H)</f>
        <v>0</v>
      </c>
    </row>
    <row r="71" spans="2:6" s="96" customFormat="1" x14ac:dyDescent="0.15">
      <c r="B71" s="2" t="s">
        <v>6</v>
      </c>
      <c r="C71" s="277" t="s">
        <v>110</v>
      </c>
      <c r="D71" s="277"/>
      <c r="E71" s="62">
        <f>PERC_SUBSTITUTO_AFAST_MATERN</f>
        <v>0.04</v>
      </c>
      <c r="F71" s="61">
        <f>PERC_SUBSTITUTO_AFAST_MATERN%*(MOD_1_REMUNERACAO_44H+MOD_2_ENCARGOS_BENEFICIOS_44H+MOD_3_PROVISAO_RESCISAO_44H)</f>
        <v>0</v>
      </c>
    </row>
    <row r="72" spans="2:6" s="96" customFormat="1" x14ac:dyDescent="0.15">
      <c r="B72" s="2" t="s">
        <v>7</v>
      </c>
      <c r="C72" s="305" t="str">
        <f>OUTRAS_AUSENCIAS_DESCRICAO</f>
        <v>Outras Ausências (Especificar - em %)</v>
      </c>
      <c r="D72" s="276"/>
      <c r="E72" s="56">
        <f>PERC_SUBSTITUTO_OUTRAS_AUSENCIAS</f>
        <v>0</v>
      </c>
      <c r="F72" s="39">
        <f>PERC_SUBSTITUTO_OUTRAS_AUSENCIAS%*(MOD_1_REMUNERACAO_44H+MOD_2_ENCARGOS_BENEFICIOS_44H+MOD_3_PROVISAO_RESCISAO_44H)</f>
        <v>0</v>
      </c>
    </row>
    <row r="73" spans="2:6" s="96" customFormat="1" x14ac:dyDescent="0.3">
      <c r="B73" s="220" t="s">
        <v>48</v>
      </c>
      <c r="C73" s="221"/>
      <c r="D73" s="221"/>
      <c r="E73" s="222"/>
      <c r="F73" s="44">
        <f>SUM(F67:F72)</f>
        <v>0</v>
      </c>
    </row>
    <row r="74" spans="2:6" ht="18" customHeight="1" x14ac:dyDescent="0.3">
      <c r="B74" s="20"/>
      <c r="C74" s="21"/>
      <c r="D74" s="22"/>
      <c r="E74" s="18"/>
      <c r="F74" s="18"/>
    </row>
    <row r="75" spans="2:6" x14ac:dyDescent="0.3">
      <c r="B75" s="54" t="s">
        <v>238</v>
      </c>
      <c r="C75" s="16"/>
      <c r="D75" s="26"/>
      <c r="E75" s="24"/>
      <c r="F75" s="24"/>
    </row>
    <row r="76" spans="2:6" x14ac:dyDescent="0.3">
      <c r="B76" s="1" t="s">
        <v>21</v>
      </c>
      <c r="C76" s="139" t="s">
        <v>237</v>
      </c>
      <c r="D76" s="139"/>
      <c r="E76" s="139"/>
      <c r="F76" s="5" t="s">
        <v>13</v>
      </c>
    </row>
    <row r="77" spans="2:6" ht="33" x14ac:dyDescent="0.3">
      <c r="B77" s="1" t="s">
        <v>2</v>
      </c>
      <c r="C77" s="140" t="s">
        <v>111</v>
      </c>
      <c r="D77" s="140"/>
      <c r="E77" s="140"/>
      <c r="F77" s="60">
        <f>((MOD_1_REMUNERACAO_44H+MOD_2_ENCARGOS_BENEFICIOS_44H+MOD_3_PROVISAO_RESCISAO_44H)/DIVISOR_DE_HORAS)*((TEMPO_INTERVALO_REFEICAO/HORA_NORMAL)+PERC_HORA_EXTRA%)*DIAS_UTEIS_TRABALHADOS_NO_MES_44HORAS</f>
        <v>0</v>
      </c>
    </row>
    <row r="78" spans="2:6" x14ac:dyDescent="0.3">
      <c r="B78" s="216" t="s">
        <v>48</v>
      </c>
      <c r="C78" s="216"/>
      <c r="D78" s="216"/>
      <c r="E78" s="216"/>
      <c r="F78" s="44">
        <f>SUM(F77)</f>
        <v>0</v>
      </c>
    </row>
    <row r="79" spans="2:6" x14ac:dyDescent="0.3">
      <c r="C79" s="17"/>
      <c r="D79" s="17"/>
      <c r="E79" s="17"/>
      <c r="F79" s="17"/>
    </row>
    <row r="80" spans="2:6" x14ac:dyDescent="0.3">
      <c r="B80" s="54" t="s">
        <v>79</v>
      </c>
      <c r="C80" s="16"/>
      <c r="D80" s="16"/>
      <c r="E80" s="24"/>
      <c r="F80" s="24"/>
    </row>
    <row r="81" spans="2:6" ht="15.75" customHeight="1" x14ac:dyDescent="0.3">
      <c r="B81" s="52">
        <v>5</v>
      </c>
      <c r="C81" s="223" t="s">
        <v>0</v>
      </c>
      <c r="D81" s="223"/>
      <c r="E81" s="223"/>
      <c r="F81" s="53" t="s">
        <v>13</v>
      </c>
    </row>
    <row r="82" spans="2:6" x14ac:dyDescent="0.3">
      <c r="B82" s="47" t="s">
        <v>2</v>
      </c>
      <c r="C82" s="224" t="s">
        <v>16</v>
      </c>
      <c r="D82" s="224"/>
      <c r="E82" s="224"/>
      <c r="F82" s="63">
        <f>UNIFORMES</f>
        <v>0</v>
      </c>
    </row>
    <row r="83" spans="2:6" x14ac:dyDescent="0.3">
      <c r="B83" s="47" t="s">
        <v>3</v>
      </c>
      <c r="C83" s="225" t="s">
        <v>18</v>
      </c>
      <c r="D83" s="225"/>
      <c r="E83" s="225"/>
      <c r="F83" s="50">
        <f>MATERIAIS</f>
        <v>0</v>
      </c>
    </row>
    <row r="84" spans="2:6" x14ac:dyDescent="0.3">
      <c r="B84" s="47" t="s">
        <v>4</v>
      </c>
      <c r="C84" s="224" t="s">
        <v>17</v>
      </c>
      <c r="D84" s="224"/>
      <c r="E84" s="224"/>
      <c r="F84" s="63">
        <f>EQUIPAMENTOS_ÑLETAL44H</f>
        <v>0</v>
      </c>
    </row>
    <row r="85" spans="2:6" x14ac:dyDescent="0.3">
      <c r="B85" s="47" t="s">
        <v>5</v>
      </c>
      <c r="C85" s="307" t="str">
        <f>OUTROS_INSUMOS_DESCRICAO</f>
        <v>Outros (Especificar)</v>
      </c>
      <c r="D85" s="225"/>
      <c r="E85" s="225"/>
      <c r="F85" s="50">
        <f>OUTROS_INSUMOS</f>
        <v>0</v>
      </c>
    </row>
    <row r="86" spans="2:6" x14ac:dyDescent="0.3">
      <c r="B86" s="308" t="s">
        <v>48</v>
      </c>
      <c r="C86" s="308"/>
      <c r="D86" s="308"/>
      <c r="E86" s="308"/>
      <c r="F86" s="46">
        <f>SUM(F82:F85)</f>
        <v>0</v>
      </c>
    </row>
    <row r="87" spans="2:6" ht="10.5" customHeight="1" x14ac:dyDescent="0.3">
      <c r="B87" s="20"/>
      <c r="C87" s="21"/>
      <c r="D87" s="22"/>
      <c r="E87" s="18"/>
      <c r="F87" s="18"/>
    </row>
    <row r="88" spans="2:6" ht="15" customHeight="1" x14ac:dyDescent="0.3">
      <c r="B88" s="264" t="s">
        <v>78</v>
      </c>
      <c r="C88" s="264"/>
      <c r="D88" s="264"/>
      <c r="E88" s="264"/>
      <c r="F88" s="264"/>
    </row>
    <row r="89" spans="2:6" x14ac:dyDescent="0.3">
      <c r="B89" s="1">
        <v>6</v>
      </c>
      <c r="C89" s="216" t="s">
        <v>22</v>
      </c>
      <c r="D89" s="216"/>
      <c r="E89" s="5" t="s">
        <v>1</v>
      </c>
      <c r="F89" s="5" t="s">
        <v>13</v>
      </c>
    </row>
    <row r="90" spans="2:6" x14ac:dyDescent="0.3">
      <c r="B90" s="1" t="s">
        <v>2</v>
      </c>
      <c r="C90" s="277" t="s">
        <v>80</v>
      </c>
      <c r="D90" s="277"/>
      <c r="E90" s="64">
        <f>PERC_CUSTOS_INDIRETOS</f>
        <v>0</v>
      </c>
      <c r="F90" s="61">
        <f>PERC_CUSTOS_INDIRETOS%*(MOD_1_REMUNERACAO_44H+MOD_2_ENCARGOS_BENEFICIOS_44H+MOD_3_PROVISAO_RESCISAO_44H+MOD_4_CUSTO_REPOSICAO_44H+MOD_5_INSUMOS_44H)</f>
        <v>0</v>
      </c>
    </row>
    <row r="91" spans="2:6" ht="15.75" customHeight="1" x14ac:dyDescent="0.3">
      <c r="B91" s="2" t="s">
        <v>3</v>
      </c>
      <c r="C91" s="276" t="s">
        <v>34</v>
      </c>
      <c r="D91" s="276"/>
      <c r="E91" s="51">
        <f>PERC_LUCRO</f>
        <v>0</v>
      </c>
      <c r="F91" s="39">
        <f>PERC_LUCRO%*(MOD_1_REMUNERACAO_44H+MOD_2_ENCARGOS_BENEFICIOS_44H+MOD_3_PROVISAO_RESCISAO_44H+MOD_4_CUSTO_REPOSICAO_44H+MOD_5_INSUMOS_44H+AL_6_A_CUSTOS_INDIRETOS_44H)</f>
        <v>0</v>
      </c>
    </row>
    <row r="92" spans="2:6" x14ac:dyDescent="0.3">
      <c r="B92" s="2" t="s">
        <v>4</v>
      </c>
      <c r="C92" s="277" t="s">
        <v>23</v>
      </c>
      <c r="D92" s="277"/>
      <c r="E92" s="64">
        <f>SUM(E93:E95)</f>
        <v>0</v>
      </c>
      <c r="F92" s="61">
        <f>SUM(F93:F95)</f>
        <v>0</v>
      </c>
    </row>
    <row r="93" spans="2:6" ht="15.75" customHeight="1" x14ac:dyDescent="0.3">
      <c r="B93" s="34" t="s">
        <v>81</v>
      </c>
      <c r="C93" s="306" t="s">
        <v>25</v>
      </c>
      <c r="D93" s="306"/>
      <c r="E93" s="35">
        <f>PERC_PIS</f>
        <v>0</v>
      </c>
      <c r="F93" s="66">
        <f>((MOD_1_REMUNERACAO_44H+MOD_2_ENCARGOS_BENEFICIOS_44H+MOD_3_PROVISAO_RESCISAO_44H+MOD_4_CUSTO_REPOSICAO_44H+MOD_5_INSUMOS_44H+AL_6_A_CUSTOS_INDIRETOS_44H+AL_6_B_LUCRO_44H)*PERC_PIS%)/(1-PERC_TRIBUTOS%)</f>
        <v>0</v>
      </c>
    </row>
    <row r="94" spans="2:6" x14ac:dyDescent="0.3">
      <c r="B94" s="34" t="s">
        <v>82</v>
      </c>
      <c r="C94" s="309" t="s">
        <v>26</v>
      </c>
      <c r="D94" s="309"/>
      <c r="E94" s="65">
        <f>PERC_COFINS</f>
        <v>0</v>
      </c>
      <c r="F94" s="67">
        <f>((MOD_1_REMUNERACAO_44H+MOD_2_ENCARGOS_BENEFICIOS_44H+MOD_3_PROVISAO_RESCISAO_44H+MOD_4_CUSTO_REPOSICAO_44H+MOD_5_INSUMOS_44H+AL_6_A_CUSTOS_INDIRETOS_44H+AL_6_B_LUCRO_44H)*PERC_COFINS%)/(1-PERC_TRIBUTOS%)</f>
        <v>0</v>
      </c>
    </row>
    <row r="95" spans="2:6" s="106" customFormat="1" x14ac:dyDescent="0.3">
      <c r="B95" s="34" t="s">
        <v>83</v>
      </c>
      <c r="C95" s="306" t="s">
        <v>27</v>
      </c>
      <c r="D95" s="306"/>
      <c r="E95" s="35">
        <f>PERC_ISS</f>
        <v>0</v>
      </c>
      <c r="F95" s="66">
        <f>((MOD_1_REMUNERACAO_44H+MOD_2_ENCARGOS_BENEFICIOS_44H+MOD_3_PROVISAO_RESCISAO_44H+MOD_4_CUSTO_REPOSICAO_44H+MOD_5_INSUMOS_44H+AL_6_A_CUSTOS_INDIRETOS_44H+AL_6_B_LUCRO_44H)*PERC_ISS%)/(1-PERC_TRIBUTOS%)</f>
        <v>0</v>
      </c>
    </row>
    <row r="96" spans="2:6" s="106" customFormat="1" x14ac:dyDescent="0.3">
      <c r="B96" s="220" t="s">
        <v>48</v>
      </c>
      <c r="C96" s="221"/>
      <c r="D96" s="221"/>
      <c r="E96" s="222"/>
      <c r="F96" s="40">
        <f>AL_6_A_CUSTOS_INDIRETOS_44H+AL_6_B_LUCRO_44H+AL_6_C_TRIBUTOS_44H</f>
        <v>0</v>
      </c>
    </row>
    <row r="97" spans="2:6" ht="19.5" customHeight="1" x14ac:dyDescent="0.3">
      <c r="B97" s="20"/>
      <c r="C97" s="21"/>
      <c r="D97" s="22"/>
      <c r="E97" s="18"/>
      <c r="F97" s="18"/>
    </row>
    <row r="98" spans="2:6" s="106" customFormat="1" ht="30.75" customHeight="1" x14ac:dyDescent="0.3">
      <c r="B98" s="55" t="s">
        <v>55</v>
      </c>
      <c r="C98" s="19"/>
      <c r="D98" s="19"/>
      <c r="E98" s="19"/>
      <c r="F98" s="27"/>
    </row>
    <row r="99" spans="2:6" s="107" customFormat="1" ht="16.5" customHeight="1" x14ac:dyDescent="0.3">
      <c r="B99" s="2" t="s">
        <v>100</v>
      </c>
      <c r="C99" s="213" t="s">
        <v>101</v>
      </c>
      <c r="D99" s="214"/>
      <c r="E99" s="215"/>
      <c r="F99" s="5" t="s">
        <v>19</v>
      </c>
    </row>
    <row r="100" spans="2:6" s="106" customFormat="1" x14ac:dyDescent="0.3">
      <c r="B100" s="1">
        <v>1</v>
      </c>
      <c r="C100" s="277" t="s">
        <v>9</v>
      </c>
      <c r="D100" s="277"/>
      <c r="E100" s="277"/>
      <c r="F100" s="61">
        <f>MOD_1_REMUNERACAO_44H</f>
        <v>0</v>
      </c>
    </row>
    <row r="101" spans="2:6" s="108" customFormat="1" ht="16.5" customHeight="1" x14ac:dyDescent="0.3">
      <c r="B101" s="2">
        <v>2</v>
      </c>
      <c r="C101" s="276" t="s">
        <v>102</v>
      </c>
      <c r="D101" s="276"/>
      <c r="E101" s="276"/>
      <c r="F101" s="39">
        <f>MOD_2_ENCARGOS_BENEFICIOS_44H</f>
        <v>0</v>
      </c>
    </row>
    <row r="102" spans="2:6" s="108" customFormat="1" x14ac:dyDescent="0.3">
      <c r="B102" s="2">
        <v>3</v>
      </c>
      <c r="C102" s="277" t="s">
        <v>50</v>
      </c>
      <c r="D102" s="277"/>
      <c r="E102" s="277"/>
      <c r="F102" s="61">
        <f>MOD_3_PROVISAO_RESCISAO_44H</f>
        <v>0</v>
      </c>
    </row>
    <row r="103" spans="2:6" s="108" customFormat="1" x14ac:dyDescent="0.3">
      <c r="B103" s="2">
        <v>4</v>
      </c>
      <c r="C103" s="276" t="s">
        <v>53</v>
      </c>
      <c r="D103" s="276"/>
      <c r="E103" s="276"/>
      <c r="F103" s="39">
        <f>MOD_4_CUSTO_REPOSICAO_44H</f>
        <v>0</v>
      </c>
    </row>
    <row r="104" spans="2:6" s="108" customFormat="1" x14ac:dyDescent="0.3">
      <c r="B104" s="2">
        <v>5</v>
      </c>
      <c r="C104" s="277" t="s">
        <v>0</v>
      </c>
      <c r="D104" s="277"/>
      <c r="E104" s="277"/>
      <c r="F104" s="61">
        <f>MOD_5_INSUMOS_44H</f>
        <v>0</v>
      </c>
    </row>
    <row r="105" spans="2:6" s="108" customFormat="1" x14ac:dyDescent="0.3">
      <c r="B105" s="2">
        <v>6</v>
      </c>
      <c r="C105" s="276" t="s">
        <v>22</v>
      </c>
      <c r="D105" s="276"/>
      <c r="E105" s="276"/>
      <c r="F105" s="39">
        <f>MOD_6_CUSTOS_IND_LUCRO_TRIB_44H</f>
        <v>0</v>
      </c>
    </row>
    <row r="106" spans="2:6" ht="16.5" customHeight="1" x14ac:dyDescent="0.3">
      <c r="B106" s="279" t="s">
        <v>103</v>
      </c>
      <c r="C106" s="279"/>
      <c r="D106" s="279"/>
      <c r="E106" s="279"/>
      <c r="F106" s="40">
        <f>SUM(F100:F105)</f>
        <v>0</v>
      </c>
    </row>
    <row r="107" spans="2:6" ht="16.5" customHeight="1" x14ac:dyDescent="0.3">
      <c r="B107" s="279" t="s">
        <v>32</v>
      </c>
      <c r="C107" s="279"/>
      <c r="D107" s="279"/>
      <c r="E107" s="279"/>
      <c r="F107" s="40">
        <f>F106*EMPREG_POR_POSTO_44H</f>
        <v>0</v>
      </c>
    </row>
    <row r="108" spans="2:6" x14ac:dyDescent="0.3">
      <c r="B108" s="26"/>
      <c r="C108" s="19"/>
      <c r="D108" s="19"/>
      <c r="E108" s="19"/>
      <c r="F108" s="27"/>
    </row>
  </sheetData>
  <mergeCells count="88">
    <mergeCell ref="C104:E104"/>
    <mergeCell ref="C105:E105"/>
    <mergeCell ref="B106:E106"/>
    <mergeCell ref="B107:E107"/>
    <mergeCell ref="B96:E96"/>
    <mergeCell ref="C99:E99"/>
    <mergeCell ref="C100:E100"/>
    <mergeCell ref="C101:E101"/>
    <mergeCell ref="C102:E102"/>
    <mergeCell ref="C103:E103"/>
    <mergeCell ref="C95:D95"/>
    <mergeCell ref="C83:E83"/>
    <mergeCell ref="C84:E84"/>
    <mergeCell ref="C85:E85"/>
    <mergeCell ref="B86:E86"/>
    <mergeCell ref="B88:F88"/>
    <mergeCell ref="C89:D89"/>
    <mergeCell ref="C90:D90"/>
    <mergeCell ref="C91:D91"/>
    <mergeCell ref="C92:D92"/>
    <mergeCell ref="C93:D93"/>
    <mergeCell ref="C94:D94"/>
    <mergeCell ref="C82:E82"/>
    <mergeCell ref="B62:E62"/>
    <mergeCell ref="C66:D66"/>
    <mergeCell ref="C67:D67"/>
    <mergeCell ref="C68:D68"/>
    <mergeCell ref="C69:D69"/>
    <mergeCell ref="C70:D70"/>
    <mergeCell ref="C71:D71"/>
    <mergeCell ref="C72:D72"/>
    <mergeCell ref="B73:E73"/>
    <mergeCell ref="B78:E78"/>
    <mergeCell ref="C81:E81"/>
    <mergeCell ref="C61:D61"/>
    <mergeCell ref="B47:E47"/>
    <mergeCell ref="C49:E49"/>
    <mergeCell ref="C50:E50"/>
    <mergeCell ref="C51:E51"/>
    <mergeCell ref="C52:E52"/>
    <mergeCell ref="C53:E53"/>
    <mergeCell ref="C54:E54"/>
    <mergeCell ref="B55:E55"/>
    <mergeCell ref="C58:D58"/>
    <mergeCell ref="C59:D59"/>
    <mergeCell ref="C60:D60"/>
    <mergeCell ref="C46:D46"/>
    <mergeCell ref="C35:D35"/>
    <mergeCell ref="B36:E36"/>
    <mergeCell ref="B37:F37"/>
    <mergeCell ref="C38:D38"/>
    <mergeCell ref="C39:D39"/>
    <mergeCell ref="C40:D40"/>
    <mergeCell ref="C41:D41"/>
    <mergeCell ref="C42:D42"/>
    <mergeCell ref="C43:D43"/>
    <mergeCell ref="C44:D44"/>
    <mergeCell ref="C45:D45"/>
    <mergeCell ref="C34:D34"/>
    <mergeCell ref="C18:E18"/>
    <mergeCell ref="B20:F20"/>
    <mergeCell ref="B21:E21"/>
    <mergeCell ref="C23:E23"/>
    <mergeCell ref="C24:E24"/>
    <mergeCell ref="C25:E25"/>
    <mergeCell ref="C26:E26"/>
    <mergeCell ref="C27:E27"/>
    <mergeCell ref="C28:E28"/>
    <mergeCell ref="B29:E29"/>
    <mergeCell ref="C33:D33"/>
    <mergeCell ref="D17:F17"/>
    <mergeCell ref="B6:C6"/>
    <mergeCell ref="D6:E6"/>
    <mergeCell ref="B7:F7"/>
    <mergeCell ref="C8:E8"/>
    <mergeCell ref="D9:F9"/>
    <mergeCell ref="C10:E10"/>
    <mergeCell ref="C11:E11"/>
    <mergeCell ref="C12:E12"/>
    <mergeCell ref="C15:D15"/>
    <mergeCell ref="E15:F15"/>
    <mergeCell ref="D16:F16"/>
    <mergeCell ref="B1:F1"/>
    <mergeCell ref="B2:D2"/>
    <mergeCell ref="B3:F3"/>
    <mergeCell ref="B4:F4"/>
    <mergeCell ref="B5:C5"/>
    <mergeCell ref="D5:F5"/>
  </mergeCells>
  <printOptions horizontalCentered="1"/>
  <pageMargins left="0.17" right="0.17" top="0.23" bottom="0.17" header="0.25" footer="0.17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2B12D5-BCA7-4E03-9B05-F6FEF7BAB051}">
  <dimension ref="B1:F108"/>
  <sheetViews>
    <sheetView topLeftCell="A12" zoomScaleNormal="100" zoomScaleSheetLayoutView="100" workbookViewId="0">
      <selection activeCell="G35" sqref="G35"/>
    </sheetView>
  </sheetViews>
  <sheetFormatPr defaultRowHeight="16.5" x14ac:dyDescent="0.3"/>
  <cols>
    <col min="1" max="1" width="2.7109375" style="17" customWidth="1"/>
    <col min="2" max="2" width="8.7109375" style="17" customWidth="1"/>
    <col min="3" max="3" width="52.5703125" style="23" customWidth="1"/>
    <col min="4" max="4" width="7.85546875" style="23" customWidth="1"/>
    <col min="5" max="5" width="13.5703125" style="23" customWidth="1"/>
    <col min="6" max="6" width="15.42578125" style="23" bestFit="1" customWidth="1"/>
    <col min="7" max="16384" width="9.140625" style="17"/>
  </cols>
  <sheetData>
    <row r="1" spans="2:6" ht="20.25" x14ac:dyDescent="0.35">
      <c r="B1" s="282" t="str">
        <f>RAMO</f>
        <v>RAMO:</v>
      </c>
      <c r="C1" s="283"/>
      <c r="D1" s="283"/>
      <c r="E1" s="283"/>
      <c r="F1" s="284"/>
    </row>
    <row r="2" spans="2:6" ht="20.25" x14ac:dyDescent="0.35">
      <c r="B2" s="285" t="str">
        <f>UG</f>
        <v>UNIDADE GESTORA (SIGLA):</v>
      </c>
      <c r="C2" s="286"/>
      <c r="D2" s="287"/>
      <c r="E2" s="111" t="s">
        <v>59</v>
      </c>
      <c r="F2" s="112" t="str">
        <f>DATA_DO_ORCAMENTO_ESTIMATIVO</f>
        <v>XX/XX/20XX</v>
      </c>
    </row>
    <row r="3" spans="2:6" s="96" customFormat="1" ht="25.5" x14ac:dyDescent="0.5">
      <c r="B3" s="237" t="s">
        <v>58</v>
      </c>
      <c r="C3" s="237"/>
      <c r="D3" s="237"/>
      <c r="E3" s="237"/>
      <c r="F3" s="237"/>
    </row>
    <row r="4" spans="2:6" s="96" customFormat="1" ht="15.95" customHeight="1" x14ac:dyDescent="0.3">
      <c r="B4" s="238" t="s">
        <v>99</v>
      </c>
      <c r="C4" s="238"/>
      <c r="D4" s="238"/>
      <c r="E4" s="238"/>
      <c r="F4" s="238"/>
    </row>
    <row r="5" spans="2:6" s="96" customFormat="1" ht="15.95" customHeight="1" x14ac:dyDescent="0.3">
      <c r="B5" s="246" t="s">
        <v>235</v>
      </c>
      <c r="C5" s="246"/>
      <c r="D5" s="288" t="str">
        <f>NUMERO_PROCESSO</f>
        <v>X.XX.XXX.XXXXXX/20XX-XX</v>
      </c>
      <c r="E5" s="288"/>
      <c r="F5" s="288"/>
    </row>
    <row r="6" spans="2:6" s="96" customFormat="1" ht="15.75" customHeight="1" x14ac:dyDescent="0.3">
      <c r="B6" s="250" t="s">
        <v>236</v>
      </c>
      <c r="C6" s="250"/>
      <c r="D6" s="289" t="str">
        <f>MODALIDADE_DE_LICITACAO</f>
        <v>Pregão nº</v>
      </c>
      <c r="E6" s="289"/>
      <c r="F6" s="116" t="str">
        <f>NUMERO_PREGAO</f>
        <v>XX/20XX</v>
      </c>
    </row>
    <row r="7" spans="2:6" s="97" customFormat="1" ht="15.75" customHeight="1" x14ac:dyDescent="0.3">
      <c r="B7" s="290" t="s">
        <v>60</v>
      </c>
      <c r="C7" s="290"/>
      <c r="D7" s="290"/>
      <c r="E7" s="290"/>
      <c r="F7" s="290"/>
    </row>
    <row r="8" spans="2:6" s="96" customFormat="1" ht="18" customHeight="1" x14ac:dyDescent="0.3">
      <c r="B8" s="29" t="s">
        <v>2</v>
      </c>
      <c r="C8" s="246" t="s">
        <v>65</v>
      </c>
      <c r="D8" s="246"/>
      <c r="E8" s="246"/>
      <c r="F8" s="117" t="str">
        <f>DATA_APRESENTACAO_PROPOSTA</f>
        <v>XX/XX/20XX</v>
      </c>
    </row>
    <row r="9" spans="2:6" s="96" customFormat="1" ht="15.95" customHeight="1" x14ac:dyDescent="0.15">
      <c r="B9" s="1" t="s">
        <v>3</v>
      </c>
      <c r="C9" s="70" t="s">
        <v>38</v>
      </c>
      <c r="D9" s="291" t="str">
        <f>IF(LOCAL_DE_EXECUCAO="","",LOCAL_DE_EXECUCAO)</f>
        <v/>
      </c>
      <c r="E9" s="291"/>
      <c r="F9" s="291"/>
    </row>
    <row r="10" spans="2:6" s="96" customFormat="1" ht="18.75" customHeight="1" x14ac:dyDescent="0.3">
      <c r="B10" s="29" t="s">
        <v>4</v>
      </c>
      <c r="C10" s="246" t="s">
        <v>39</v>
      </c>
      <c r="D10" s="246"/>
      <c r="E10" s="246"/>
      <c r="F10" s="118" t="str">
        <f>ACORDO_COLETIVO</f>
        <v>XX/20XX</v>
      </c>
    </row>
    <row r="11" spans="2:6" s="96" customFormat="1" ht="15.95" customHeight="1" x14ac:dyDescent="0.3">
      <c r="B11" s="1" t="s">
        <v>5</v>
      </c>
      <c r="C11" s="291" t="s">
        <v>66</v>
      </c>
      <c r="D11" s="291"/>
      <c r="E11" s="291"/>
      <c r="F11" s="119">
        <f>NUMERO_MESES_EXEC_CONTRATUAL</f>
        <v>12</v>
      </c>
    </row>
    <row r="12" spans="2:6" s="96" customFormat="1" x14ac:dyDescent="0.3">
      <c r="B12" s="1" t="s">
        <v>6</v>
      </c>
      <c r="C12" s="292" t="s">
        <v>87</v>
      </c>
      <c r="D12" s="292"/>
      <c r="E12" s="292"/>
      <c r="F12" s="100">
        <f>IF(QTDE_DE_POSTOS_VIG_44=0,"",QTDE_DE_POSTOS_VIG_44)</f>
        <v>27</v>
      </c>
    </row>
    <row r="13" spans="2:6" s="96" customFormat="1" ht="7.5" customHeight="1" x14ac:dyDescent="0.3">
      <c r="B13" s="120"/>
      <c r="C13" s="121"/>
      <c r="D13" s="121"/>
      <c r="E13" s="121"/>
      <c r="F13" s="102"/>
    </row>
    <row r="14" spans="2:6" s="96" customFormat="1" ht="21" customHeight="1" x14ac:dyDescent="0.5">
      <c r="B14" s="104" t="s">
        <v>216</v>
      </c>
      <c r="C14" s="17"/>
      <c r="D14" s="17"/>
      <c r="E14" s="17"/>
      <c r="F14" s="17"/>
    </row>
    <row r="15" spans="2:6" s="96" customFormat="1" x14ac:dyDescent="0.3">
      <c r="B15" s="29">
        <v>1</v>
      </c>
      <c r="C15" s="316" t="s">
        <v>62</v>
      </c>
      <c r="D15" s="317"/>
      <c r="E15" s="313" t="str">
        <f>TIPO_DE_SERVICO</f>
        <v>Vigilância</v>
      </c>
      <c r="F15" s="315"/>
    </row>
    <row r="16" spans="2:6" s="97" customFormat="1" x14ac:dyDescent="0.3">
      <c r="B16" s="29">
        <v>2</v>
      </c>
      <c r="C16" s="31" t="s">
        <v>61</v>
      </c>
      <c r="D16" s="258">
        <f>CBO_VIGI</f>
        <v>0</v>
      </c>
      <c r="E16" s="259"/>
      <c r="F16" s="260"/>
    </row>
    <row r="17" spans="2:6" s="96" customFormat="1" ht="15" customHeight="1" x14ac:dyDescent="0.3">
      <c r="B17" s="29">
        <v>3</v>
      </c>
      <c r="C17" s="59" t="s">
        <v>63</v>
      </c>
      <c r="D17" s="313">
        <f>CATEGORIA_PROFISSIONAL</f>
        <v>0</v>
      </c>
      <c r="E17" s="314"/>
      <c r="F17" s="315"/>
    </row>
    <row r="18" spans="2:6" s="96" customFormat="1" ht="15" customHeight="1" x14ac:dyDescent="0.3">
      <c r="B18" s="29">
        <v>4</v>
      </c>
      <c r="C18" s="205" t="s">
        <v>64</v>
      </c>
      <c r="D18" s="318"/>
      <c r="E18" s="206"/>
      <c r="F18" s="133" t="str">
        <f>DATA_BASE_CATEGORIA</f>
        <v>XX/XX/20XX</v>
      </c>
    </row>
    <row r="19" spans="2:6" s="96" customFormat="1" ht="15" customHeight="1" x14ac:dyDescent="0.3">
      <c r="B19" s="32"/>
      <c r="C19" s="33"/>
      <c r="D19" s="33"/>
      <c r="E19" s="33"/>
      <c r="F19" s="103"/>
    </row>
    <row r="20" spans="2:6" s="122" customFormat="1" ht="30" customHeight="1" x14ac:dyDescent="0.3">
      <c r="B20" s="296" t="s">
        <v>42</v>
      </c>
      <c r="C20" s="296"/>
      <c r="D20" s="296"/>
      <c r="E20" s="296"/>
      <c r="F20" s="296"/>
    </row>
    <row r="21" spans="2:6" x14ac:dyDescent="0.3">
      <c r="B21" s="216" t="s">
        <v>54</v>
      </c>
      <c r="C21" s="216"/>
      <c r="D21" s="216"/>
      <c r="E21" s="216"/>
      <c r="F21" s="115">
        <v>1</v>
      </c>
    </row>
    <row r="22" spans="2:6" x14ac:dyDescent="0.3">
      <c r="B22" s="54" t="s">
        <v>8</v>
      </c>
      <c r="E22" s="18"/>
      <c r="F22" s="18"/>
    </row>
    <row r="23" spans="2:6" x14ac:dyDescent="0.3">
      <c r="B23" s="52">
        <v>1</v>
      </c>
      <c r="C23" s="223" t="s">
        <v>9</v>
      </c>
      <c r="D23" s="223"/>
      <c r="E23" s="223"/>
      <c r="F23" s="53" t="s">
        <v>13</v>
      </c>
    </row>
    <row r="24" spans="2:6" x14ac:dyDescent="0.3">
      <c r="B24" s="52" t="s">
        <v>2</v>
      </c>
      <c r="C24" s="319" t="s">
        <v>94</v>
      </c>
      <c r="D24" s="319"/>
      <c r="E24" s="319"/>
      <c r="F24" s="60">
        <f>SALARIO_BASE_VIGI</f>
        <v>0</v>
      </c>
    </row>
    <row r="25" spans="2:6" x14ac:dyDescent="0.3">
      <c r="B25" s="52" t="s">
        <v>3</v>
      </c>
      <c r="C25" s="225" t="s">
        <v>96</v>
      </c>
      <c r="D25" s="225"/>
      <c r="E25" s="225"/>
      <c r="F25" s="14">
        <f>PERC_ADIC_PERIC%*SALARIO_BASE_VIGI</f>
        <v>0</v>
      </c>
    </row>
    <row r="26" spans="2:6" x14ac:dyDescent="0.3">
      <c r="B26" s="1" t="s">
        <v>4</v>
      </c>
      <c r="C26" s="294" t="str">
        <f>OUTROS_REMUNERACAO_1_DESCRICAO</f>
        <v>Outras Remunerações 1 (Especificar)</v>
      </c>
      <c r="D26" s="295"/>
      <c r="E26" s="298"/>
      <c r="F26" s="60">
        <f>OUTROS_REMUNERACAO_1</f>
        <v>0</v>
      </c>
    </row>
    <row r="27" spans="2:6" x14ac:dyDescent="0.3">
      <c r="B27" s="1" t="s">
        <v>5</v>
      </c>
      <c r="C27" s="299" t="str">
        <f>OUTROS_REMUNERACAO_2_DESCRICAO</f>
        <v>Outras Remunerações 2 (Especificar)</v>
      </c>
      <c r="D27" s="300"/>
      <c r="E27" s="301"/>
      <c r="F27" s="14">
        <f>OUTROS_REMUNERACAO_2</f>
        <v>0</v>
      </c>
    </row>
    <row r="28" spans="2:6" x14ac:dyDescent="0.3">
      <c r="B28" s="1" t="s">
        <v>6</v>
      </c>
      <c r="C28" s="294" t="str">
        <f>OUTROS_REMUNERACAO_3_DESCRICAO</f>
        <v>Outras Remunerações 3 (Especificar)</v>
      </c>
      <c r="D28" s="295"/>
      <c r="E28" s="298"/>
      <c r="F28" s="60">
        <f>OUTROS_REMUNERACAO_3</f>
        <v>0</v>
      </c>
    </row>
    <row r="29" spans="2:6" x14ac:dyDescent="0.3">
      <c r="B29" s="308" t="s">
        <v>48</v>
      </c>
      <c r="C29" s="308"/>
      <c r="D29" s="308"/>
      <c r="E29" s="308"/>
      <c r="F29" s="46">
        <f>SUM(F24:F28)</f>
        <v>0</v>
      </c>
    </row>
    <row r="30" spans="2:6" ht="10.5" customHeight="1" x14ac:dyDescent="0.3">
      <c r="B30" s="20"/>
      <c r="C30" s="21"/>
      <c r="D30" s="22"/>
      <c r="E30" s="18"/>
      <c r="F30" s="18"/>
    </row>
    <row r="31" spans="2:6" x14ac:dyDescent="0.3">
      <c r="B31" s="54" t="s">
        <v>67</v>
      </c>
      <c r="E31" s="25"/>
      <c r="F31" s="25"/>
    </row>
    <row r="32" spans="2:6" x14ac:dyDescent="0.3">
      <c r="B32" s="54" t="s">
        <v>69</v>
      </c>
      <c r="C32" s="16"/>
      <c r="D32" s="26"/>
      <c r="E32" s="24"/>
      <c r="F32" s="24"/>
    </row>
    <row r="33" spans="2:6" x14ac:dyDescent="0.3">
      <c r="B33" s="52" t="s">
        <v>68</v>
      </c>
      <c r="C33" s="320" t="s">
        <v>95</v>
      </c>
      <c r="D33" s="320"/>
      <c r="E33" s="53" t="s">
        <v>1</v>
      </c>
      <c r="F33" s="53" t="s">
        <v>13</v>
      </c>
    </row>
    <row r="34" spans="2:6" x14ac:dyDescent="0.3">
      <c r="B34" s="52" t="s">
        <v>2</v>
      </c>
      <c r="C34" s="224" t="s">
        <v>49</v>
      </c>
      <c r="D34" s="224"/>
      <c r="E34" s="68">
        <f>(1/12)*100</f>
        <v>8.33</v>
      </c>
      <c r="F34" s="61">
        <f>PERC_DEC_TERC%*MOD_1_REMUNERACAO_44H</f>
        <v>0</v>
      </c>
    </row>
    <row r="35" spans="2:6" s="21" customFormat="1" x14ac:dyDescent="0.3">
      <c r="B35" s="48" t="s">
        <v>3</v>
      </c>
      <c r="C35" s="207" t="s">
        <v>97</v>
      </c>
      <c r="D35" s="209"/>
      <c r="E35" s="57">
        <f>(1/3)/12*100</f>
        <v>2.78</v>
      </c>
      <c r="F35" s="39">
        <f>PERC_ADIC_FERIAS%*MOD_1_REMUNERACAO_44H</f>
        <v>0</v>
      </c>
    </row>
    <row r="36" spans="2:6" s="105" customFormat="1" x14ac:dyDescent="0.3">
      <c r="B36" s="321" t="s">
        <v>48</v>
      </c>
      <c r="C36" s="322"/>
      <c r="D36" s="322"/>
      <c r="E36" s="323"/>
      <c r="F36" s="44">
        <f>SUM(F34:F35)</f>
        <v>0</v>
      </c>
    </row>
    <row r="37" spans="2:6" s="105" customFormat="1" ht="31.5" customHeight="1" x14ac:dyDescent="0.3">
      <c r="B37" s="324" t="s">
        <v>70</v>
      </c>
      <c r="C37" s="324"/>
      <c r="D37" s="324"/>
      <c r="E37" s="324"/>
      <c r="F37" s="324"/>
    </row>
    <row r="38" spans="2:6" s="105" customFormat="1" ht="33.75" customHeight="1" x14ac:dyDescent="0.3">
      <c r="B38" s="52" t="s">
        <v>71</v>
      </c>
      <c r="C38" s="325" t="s">
        <v>98</v>
      </c>
      <c r="D38" s="325"/>
      <c r="E38" s="53" t="s">
        <v>1</v>
      </c>
      <c r="F38" s="53" t="s">
        <v>13</v>
      </c>
    </row>
    <row r="39" spans="2:6" x14ac:dyDescent="0.3">
      <c r="B39" s="52" t="s">
        <v>2</v>
      </c>
      <c r="C39" s="224" t="s">
        <v>43</v>
      </c>
      <c r="D39" s="224"/>
      <c r="E39" s="68">
        <v>20</v>
      </c>
      <c r="F39" s="61">
        <f>PERC_INSS%*(MOD_1_REMUNERACAO_44H+SUBMOD_2_1_DEC_TERC_ADIC_FERIAS_44H)</f>
        <v>0</v>
      </c>
    </row>
    <row r="40" spans="2:6" s="96" customFormat="1" x14ac:dyDescent="0.15">
      <c r="B40" s="48" t="s">
        <v>3</v>
      </c>
      <c r="C40" s="225" t="s">
        <v>45</v>
      </c>
      <c r="D40" s="225"/>
      <c r="E40" s="58">
        <v>2.5</v>
      </c>
      <c r="F40" s="39">
        <f>PERC_SAL_EDUCACAO%*(MOD_1_REMUNERACAO_44H+SUBMOD_2_1_DEC_TERC_ADIC_FERIAS_44H)</f>
        <v>0</v>
      </c>
    </row>
    <row r="41" spans="2:6" s="96" customFormat="1" x14ac:dyDescent="0.15">
      <c r="B41" s="48" t="s">
        <v>4</v>
      </c>
      <c r="C41" s="224" t="s">
        <v>92</v>
      </c>
      <c r="D41" s="224"/>
      <c r="E41" s="68">
        <v>3</v>
      </c>
      <c r="F41" s="61">
        <f>PERC_RAT%*(MOD_1_REMUNERACAO_44H+SUBMOD_2_1_DEC_TERC_ADIC_FERIAS_44H)</f>
        <v>0</v>
      </c>
    </row>
    <row r="42" spans="2:6" s="96" customFormat="1" x14ac:dyDescent="0.15">
      <c r="B42" s="48" t="s">
        <v>5</v>
      </c>
      <c r="C42" s="225" t="s">
        <v>90</v>
      </c>
      <c r="D42" s="225"/>
      <c r="E42" s="57">
        <v>1.5</v>
      </c>
      <c r="F42" s="39">
        <f>PERC_SESC%*(MOD_1_REMUNERACAO_44H+SUBMOD_2_1_DEC_TERC_ADIC_FERIAS_44H)</f>
        <v>0</v>
      </c>
    </row>
    <row r="43" spans="2:6" s="96" customFormat="1" x14ac:dyDescent="0.15">
      <c r="B43" s="48" t="s">
        <v>6</v>
      </c>
      <c r="C43" s="224" t="s">
        <v>91</v>
      </c>
      <c r="D43" s="224"/>
      <c r="E43" s="68">
        <v>1</v>
      </c>
      <c r="F43" s="61">
        <f>PERC_SENAC%*(MOD_1_REMUNERACAO_44H+SUBMOD_2_1_DEC_TERC_ADIC_FERIAS_44H)</f>
        <v>0</v>
      </c>
    </row>
    <row r="44" spans="2:6" s="97" customFormat="1" x14ac:dyDescent="0.15">
      <c r="B44" s="48" t="s">
        <v>7</v>
      </c>
      <c r="C44" s="225" t="s">
        <v>47</v>
      </c>
      <c r="D44" s="225"/>
      <c r="E44" s="58">
        <v>0.6</v>
      </c>
      <c r="F44" s="39">
        <f>PERC_SEBRAE%*(MOD_1_REMUNERACAO_44H+SUBMOD_2_1_DEC_TERC_ADIC_FERIAS_44H)</f>
        <v>0</v>
      </c>
    </row>
    <row r="45" spans="2:6" s="97" customFormat="1" x14ac:dyDescent="0.15">
      <c r="B45" s="48" t="s">
        <v>10</v>
      </c>
      <c r="C45" s="224" t="s">
        <v>44</v>
      </c>
      <c r="D45" s="224"/>
      <c r="E45" s="68">
        <v>0.2</v>
      </c>
      <c r="F45" s="61">
        <f>PERC_INCRA%*(MOD_1_REMUNERACAO_44H+SUBMOD_2_1_DEC_TERC_ADIC_FERIAS_44H)</f>
        <v>0</v>
      </c>
    </row>
    <row r="46" spans="2:6" x14ac:dyDescent="0.3">
      <c r="B46" s="48" t="s">
        <v>11</v>
      </c>
      <c r="C46" s="225" t="s">
        <v>46</v>
      </c>
      <c r="D46" s="225"/>
      <c r="E46" s="58">
        <v>8</v>
      </c>
      <c r="F46" s="39">
        <f>PERC_FGTS%*(MOD_1_REMUNERACAO_44H+SUBMOD_2_1_DEC_TERC_ADIC_FERIAS_44H)</f>
        <v>0</v>
      </c>
    </row>
    <row r="47" spans="2:6" x14ac:dyDescent="0.3">
      <c r="B47" s="321" t="s">
        <v>48</v>
      </c>
      <c r="C47" s="322"/>
      <c r="D47" s="322"/>
      <c r="E47" s="323"/>
      <c r="F47" s="45">
        <f>SUM(F39:F46)</f>
        <v>0</v>
      </c>
    </row>
    <row r="48" spans="2:6" ht="15.75" customHeight="1" x14ac:dyDescent="0.3">
      <c r="B48" s="54" t="s">
        <v>73</v>
      </c>
      <c r="C48" s="97"/>
      <c r="D48" s="97"/>
      <c r="E48" s="97"/>
      <c r="F48" s="97"/>
    </row>
    <row r="49" spans="2:6" ht="15.75" customHeight="1" x14ac:dyDescent="0.3">
      <c r="B49" s="52" t="s">
        <v>93</v>
      </c>
      <c r="C49" s="223" t="s">
        <v>14</v>
      </c>
      <c r="D49" s="223"/>
      <c r="E49" s="223"/>
      <c r="F49" s="53" t="s">
        <v>13</v>
      </c>
    </row>
    <row r="50" spans="2:6" x14ac:dyDescent="0.3">
      <c r="B50" s="47" t="s">
        <v>2</v>
      </c>
      <c r="C50" s="294" t="s">
        <v>15</v>
      </c>
      <c r="D50" s="295"/>
      <c r="E50" s="298"/>
      <c r="F50" s="61">
        <f>IF(((TRANSPORTE_POR_DIA*DIAS_UTEIS_TRABALHADOS_NO_MES_44HORAS)-(PERC_DESC_TRANSP_REMUNERACAO%*(AL_1_A_SAL_BASE_44H)))&gt;0,((TRANSPORTE_POR_DIA*DIAS_UTEIS_TRABALHADOS_NO_MES_44HORAS)-(PERC_DESC_TRANSP_REMUNERACAO%*(AL_1_A_SAL_BASE_44H))),0)</f>
        <v>0</v>
      </c>
    </row>
    <row r="51" spans="2:6" s="105" customFormat="1" x14ac:dyDescent="0.3">
      <c r="B51" s="47" t="s">
        <v>3</v>
      </c>
      <c r="C51" s="207" t="s">
        <v>72</v>
      </c>
      <c r="D51" s="208"/>
      <c r="E51" s="209"/>
      <c r="F51" s="39">
        <f>ALIMENTACAO_POR_DIA*DIAS_UTEIS_TRABALHADOS_NO_MES_44HORAS</f>
        <v>0</v>
      </c>
    </row>
    <row r="52" spans="2:6" s="105" customFormat="1" x14ac:dyDescent="0.3">
      <c r="B52" s="29" t="s">
        <v>4</v>
      </c>
      <c r="C52" s="294" t="str">
        <f>OUTROS_BENEFICIOS_1_DESCRICAO</f>
        <v>Outros Benefícios 1 (Especificar)</v>
      </c>
      <c r="D52" s="295"/>
      <c r="E52" s="298"/>
      <c r="F52" s="61">
        <f>OUTROS_BENEFICIOS_1</f>
        <v>0</v>
      </c>
    </row>
    <row r="53" spans="2:6" s="105" customFormat="1" x14ac:dyDescent="0.3">
      <c r="B53" s="29" t="s">
        <v>5</v>
      </c>
      <c r="C53" s="299" t="str">
        <f>OUTROS_BENEFICIOS_2_DESCRICAO</f>
        <v>Outros Benefícios 2 (Especificar)</v>
      </c>
      <c r="D53" s="300"/>
      <c r="E53" s="301"/>
      <c r="F53" s="39">
        <f>OUTROS_BENEFICIOS_2</f>
        <v>0</v>
      </c>
    </row>
    <row r="54" spans="2:6" s="105" customFormat="1" x14ac:dyDescent="0.3">
      <c r="B54" s="29" t="s">
        <v>6</v>
      </c>
      <c r="C54" s="294" t="str">
        <f>OUTROS_BENEFICIOS_3_DESCRICAO</f>
        <v>Outros Benefícios 3 (Especificar)</v>
      </c>
      <c r="D54" s="295"/>
      <c r="E54" s="298"/>
      <c r="F54" s="61">
        <f>OUTROS_BENEFICIOS_3</f>
        <v>0</v>
      </c>
    </row>
    <row r="55" spans="2:6" s="105" customFormat="1" ht="15" customHeight="1" x14ac:dyDescent="0.3">
      <c r="B55" s="308" t="s">
        <v>48</v>
      </c>
      <c r="C55" s="308"/>
      <c r="D55" s="308"/>
      <c r="E55" s="308"/>
      <c r="F55" s="46">
        <f>SUM(F50:F54)</f>
        <v>0</v>
      </c>
    </row>
    <row r="56" spans="2:6" ht="10.5" customHeight="1" x14ac:dyDescent="0.3">
      <c r="B56" s="20"/>
      <c r="C56" s="21"/>
      <c r="D56" s="22"/>
      <c r="E56" s="18"/>
      <c r="F56" s="18"/>
    </row>
    <row r="57" spans="2:6" s="105" customFormat="1" x14ac:dyDescent="0.3">
      <c r="B57" s="54" t="s">
        <v>74</v>
      </c>
      <c r="C57" s="16"/>
      <c r="D57" s="26"/>
      <c r="E57" s="24"/>
      <c r="F57" s="24"/>
    </row>
    <row r="58" spans="2:6" s="105" customFormat="1" ht="15" customHeight="1" x14ac:dyDescent="0.3">
      <c r="B58" s="1">
        <v>3</v>
      </c>
      <c r="C58" s="216" t="s">
        <v>50</v>
      </c>
      <c r="D58" s="216"/>
      <c r="E58" s="5" t="s">
        <v>1</v>
      </c>
      <c r="F58" s="5" t="s">
        <v>13</v>
      </c>
    </row>
    <row r="59" spans="2:6" s="105" customFormat="1" x14ac:dyDescent="0.3">
      <c r="B59" s="1" t="s">
        <v>2</v>
      </c>
      <c r="C59" s="278" t="s">
        <v>51</v>
      </c>
      <c r="D59" s="278"/>
      <c r="E59" s="62">
        <f>PERC_AVISO_PREVIO_IND</f>
        <v>0.28999999999999998</v>
      </c>
      <c r="F59" s="61">
        <f>PERC_AVISO_PREVIO_IND%*(MOD_1_REMUNERACAO_44H+SUBMOD_2_1_DEC_TERC_ADIC_FERIAS_44H+AL_2_2_FGTS_44H+SUBMOD_2_3_BENEFICIOS_44H)</f>
        <v>0</v>
      </c>
    </row>
    <row r="60" spans="2:6" s="105" customFormat="1" x14ac:dyDescent="0.3">
      <c r="B60" s="2" t="s">
        <v>3</v>
      </c>
      <c r="C60" s="280" t="s">
        <v>52</v>
      </c>
      <c r="D60" s="280"/>
      <c r="E60" s="49">
        <f>PERC_AVISO_PREVIO_TRAB</f>
        <v>1.1599999999999999</v>
      </c>
      <c r="F60" s="39">
        <f>PERC_AVISO_PREVIO_TRAB%*(MOD_1_REMUNERACAO_44H+SUBMOD_2_1_DEC_TERC_ADIC_FERIAS_44H+SUBMOD_2_2_GPS_FGTS_44H+SUBMOD_2_3_BENEFICIOS_44H)</f>
        <v>0</v>
      </c>
    </row>
    <row r="61" spans="2:6" s="96" customFormat="1" x14ac:dyDescent="0.15">
      <c r="B61" s="2" t="s">
        <v>4</v>
      </c>
      <c r="C61" s="278" t="s">
        <v>244</v>
      </c>
      <c r="D61" s="278"/>
      <c r="E61" s="62">
        <f>PERC_MULTA_FGTS_AV_PREV_TRAB</f>
        <v>0.04</v>
      </c>
      <c r="F61" s="61">
        <f>PERC_MULTA_FGTS_AV_PREV_TRAB%*(MOD_1_REMUNERACAO_44H+SUBMOD_2_1_DEC_TERC_ADIC_FERIAS_44H)</f>
        <v>0</v>
      </c>
    </row>
    <row r="62" spans="2:6" s="96" customFormat="1" x14ac:dyDescent="0.3">
      <c r="B62" s="220" t="s">
        <v>48</v>
      </c>
      <c r="C62" s="221"/>
      <c r="D62" s="221"/>
      <c r="E62" s="222"/>
      <c r="F62" s="44">
        <f>SUM(F59:F61)</f>
        <v>0</v>
      </c>
    </row>
    <row r="63" spans="2:6" ht="10.5" customHeight="1" x14ac:dyDescent="0.3">
      <c r="B63" s="20"/>
      <c r="C63" s="21"/>
      <c r="D63" s="22"/>
      <c r="E63" s="18"/>
      <c r="F63" s="18"/>
    </row>
    <row r="64" spans="2:6" s="96" customFormat="1" ht="15.95" customHeight="1" x14ac:dyDescent="0.3">
      <c r="B64" s="54" t="s">
        <v>75</v>
      </c>
      <c r="C64" s="16"/>
      <c r="D64" s="26"/>
      <c r="E64" s="17"/>
      <c r="F64" s="17"/>
    </row>
    <row r="65" spans="2:6" s="96" customFormat="1" ht="15.95" customHeight="1" x14ac:dyDescent="0.3">
      <c r="B65" s="54" t="s">
        <v>104</v>
      </c>
      <c r="C65" s="16"/>
      <c r="D65" s="26"/>
      <c r="E65" s="24"/>
      <c r="F65" s="24"/>
    </row>
    <row r="66" spans="2:6" s="96" customFormat="1" x14ac:dyDescent="0.15">
      <c r="B66" s="1" t="s">
        <v>20</v>
      </c>
      <c r="C66" s="279" t="s">
        <v>105</v>
      </c>
      <c r="D66" s="279"/>
      <c r="E66" s="5" t="s">
        <v>1</v>
      </c>
      <c r="F66" s="5" t="s">
        <v>13</v>
      </c>
    </row>
    <row r="67" spans="2:6" s="96" customFormat="1" ht="15.95" customHeight="1" x14ac:dyDescent="0.15">
      <c r="B67" s="2" t="s">
        <v>2</v>
      </c>
      <c r="C67" s="277" t="s">
        <v>106</v>
      </c>
      <c r="D67" s="277"/>
      <c r="E67" s="62">
        <f>PERC_SUBSTITUTO_FERIAS</f>
        <v>8.33</v>
      </c>
      <c r="F67" s="61">
        <f>PERC_SUBSTITUTO_FERIAS%*(MOD_1_REMUNERACAO_44H+MOD_2_ENCARGOS_BENEFICIOS_44H+MOD_3_PROVISAO_RESCISAO_44H)</f>
        <v>0</v>
      </c>
    </row>
    <row r="68" spans="2:6" s="96" customFormat="1" ht="15.95" customHeight="1" x14ac:dyDescent="0.15">
      <c r="B68" s="2" t="s">
        <v>3</v>
      </c>
      <c r="C68" s="276" t="s">
        <v>107</v>
      </c>
      <c r="D68" s="276"/>
      <c r="E68" s="49">
        <f>PERC_SUBSTITUTO_AUSENCIAS_LEGAIS</f>
        <v>2.2200000000000002</v>
      </c>
      <c r="F68" s="39">
        <f>PERC_SUBSTITUTO_AUSENCIAS_LEGAIS%*(MOD_1_REMUNERACAO_44H+MOD_2_ENCARGOS_BENEFICIOS_44H+MOD_3_PROVISAO_RESCISAO_44H)</f>
        <v>0</v>
      </c>
    </row>
    <row r="69" spans="2:6" s="96" customFormat="1" ht="15.95" customHeight="1" x14ac:dyDescent="0.15">
      <c r="B69" s="2" t="s">
        <v>4</v>
      </c>
      <c r="C69" s="277" t="s">
        <v>108</v>
      </c>
      <c r="D69" s="277"/>
      <c r="E69" s="62">
        <f>PERC_SUBSTITUTO_LICENCA_PATERNIDADE</f>
        <v>7.0000000000000007E-2</v>
      </c>
      <c r="F69" s="61">
        <f>PERC_SUBSTITUTO_LICENCA_PATERNIDADE%*(MOD_1_REMUNERACAO_44H+MOD_2_ENCARGOS_BENEFICIOS_44H+MOD_3_PROVISAO_RESCISAO_44H)</f>
        <v>0</v>
      </c>
    </row>
    <row r="70" spans="2:6" s="96" customFormat="1" x14ac:dyDescent="0.15">
      <c r="B70" s="2" t="s">
        <v>5</v>
      </c>
      <c r="C70" s="276" t="s">
        <v>109</v>
      </c>
      <c r="D70" s="276"/>
      <c r="E70" s="49">
        <f>PERC_SUBSTITUTO_ACID_TRAB</f>
        <v>0.02</v>
      </c>
      <c r="F70" s="39">
        <f>PERC_SUBSTITUTO_ACID_TRAB%*(MOD_1_REMUNERACAO_44H+MOD_2_ENCARGOS_BENEFICIOS_44H+MOD_3_PROVISAO_RESCISAO_44H)</f>
        <v>0</v>
      </c>
    </row>
    <row r="71" spans="2:6" s="96" customFormat="1" x14ac:dyDescent="0.15">
      <c r="B71" s="2" t="s">
        <v>6</v>
      </c>
      <c r="C71" s="277" t="s">
        <v>110</v>
      </c>
      <c r="D71" s="277"/>
      <c r="E71" s="62">
        <f>PERC_SUBSTITUTO_AFAST_MATERN</f>
        <v>0.04</v>
      </c>
      <c r="F71" s="61">
        <f>PERC_SUBSTITUTO_AFAST_MATERN%*(MOD_1_REMUNERACAO_44H+MOD_2_ENCARGOS_BENEFICIOS_44H+MOD_3_PROVISAO_RESCISAO_44H)</f>
        <v>0</v>
      </c>
    </row>
    <row r="72" spans="2:6" s="96" customFormat="1" x14ac:dyDescent="0.15">
      <c r="B72" s="2" t="s">
        <v>7</v>
      </c>
      <c r="C72" s="305" t="str">
        <f>OUTRAS_AUSENCIAS_DESCRICAO</f>
        <v>Outras Ausências (Especificar - em %)</v>
      </c>
      <c r="D72" s="276"/>
      <c r="E72" s="56">
        <f>PERC_SUBSTITUTO_OUTRAS_AUSENCIAS</f>
        <v>0</v>
      </c>
      <c r="F72" s="39">
        <f>PERC_SUBSTITUTO_OUTRAS_AUSENCIAS%*(MOD_1_REMUNERACAO_44H+MOD_2_ENCARGOS_BENEFICIOS_44H+MOD_3_PROVISAO_RESCISAO_44H)</f>
        <v>0</v>
      </c>
    </row>
    <row r="73" spans="2:6" s="96" customFormat="1" x14ac:dyDescent="0.3">
      <c r="B73" s="220" t="s">
        <v>48</v>
      </c>
      <c r="C73" s="221"/>
      <c r="D73" s="221"/>
      <c r="E73" s="222"/>
      <c r="F73" s="44">
        <f>SUM(F67:F72)</f>
        <v>0</v>
      </c>
    </row>
    <row r="74" spans="2:6" ht="18" customHeight="1" x14ac:dyDescent="0.3">
      <c r="B74" s="20"/>
      <c r="C74" s="21"/>
      <c r="D74" s="22"/>
      <c r="E74" s="18"/>
      <c r="F74" s="18"/>
    </row>
    <row r="75" spans="2:6" x14ac:dyDescent="0.3">
      <c r="B75" s="54" t="s">
        <v>238</v>
      </c>
      <c r="C75" s="16"/>
      <c r="D75" s="26"/>
      <c r="E75" s="24"/>
      <c r="F75" s="24"/>
    </row>
    <row r="76" spans="2:6" x14ac:dyDescent="0.3">
      <c r="B76" s="1" t="s">
        <v>21</v>
      </c>
      <c r="C76" s="139" t="s">
        <v>237</v>
      </c>
      <c r="D76" s="139"/>
      <c r="E76" s="139"/>
      <c r="F76" s="5" t="s">
        <v>13</v>
      </c>
    </row>
    <row r="77" spans="2:6" ht="33" x14ac:dyDescent="0.3">
      <c r="B77" s="1" t="s">
        <v>2</v>
      </c>
      <c r="C77" s="140" t="s">
        <v>111</v>
      </c>
      <c r="D77" s="140"/>
      <c r="E77" s="140"/>
      <c r="F77" s="60">
        <f>((MOD_1_REMUNERACAO_44H+MOD_2_ENCARGOS_BENEFICIOS_44H+MOD_3_PROVISAO_RESCISAO_44H)/DIVISOR_DE_HORAS)*((TEMPO_INTERVALO_REFEICAO/HORA_NORMAL)+PERC_HORA_EXTRA%)*DIAS_UTEIS_TRABALHADOS_NO_MES_44HORAS</f>
        <v>0</v>
      </c>
    </row>
    <row r="78" spans="2:6" x14ac:dyDescent="0.3">
      <c r="B78" s="216" t="s">
        <v>48</v>
      </c>
      <c r="C78" s="216"/>
      <c r="D78" s="216"/>
      <c r="E78" s="216"/>
      <c r="F78" s="44">
        <f>SUM(F77)</f>
        <v>0</v>
      </c>
    </row>
    <row r="79" spans="2:6" x14ac:dyDescent="0.3">
      <c r="C79" s="17"/>
      <c r="D79" s="17"/>
      <c r="E79" s="17"/>
      <c r="F79" s="17"/>
    </row>
    <row r="80" spans="2:6" x14ac:dyDescent="0.3">
      <c r="B80" s="54" t="s">
        <v>79</v>
      </c>
      <c r="C80" s="16"/>
      <c r="D80" s="16"/>
      <c r="E80" s="24"/>
      <c r="F80" s="24"/>
    </row>
    <row r="81" spans="2:6" ht="15.75" customHeight="1" x14ac:dyDescent="0.3">
      <c r="B81" s="52">
        <v>5</v>
      </c>
      <c r="C81" s="223" t="s">
        <v>0</v>
      </c>
      <c r="D81" s="223"/>
      <c r="E81" s="223"/>
      <c r="F81" s="53" t="s">
        <v>13</v>
      </c>
    </row>
    <row r="82" spans="2:6" x14ac:dyDescent="0.3">
      <c r="B82" s="47" t="s">
        <v>2</v>
      </c>
      <c r="C82" s="224" t="s">
        <v>16</v>
      </c>
      <c r="D82" s="224"/>
      <c r="E82" s="224"/>
      <c r="F82" s="63">
        <f>UNIFORMES</f>
        <v>0</v>
      </c>
    </row>
    <row r="83" spans="2:6" x14ac:dyDescent="0.3">
      <c r="B83" s="47" t="s">
        <v>3</v>
      </c>
      <c r="C83" s="225" t="s">
        <v>18</v>
      </c>
      <c r="D83" s="225"/>
      <c r="E83" s="225"/>
      <c r="F83" s="50">
        <f>MATERIAIS</f>
        <v>0</v>
      </c>
    </row>
    <row r="84" spans="2:6" x14ac:dyDescent="0.3">
      <c r="B84" s="47" t="s">
        <v>4</v>
      </c>
      <c r="C84" s="224" t="s">
        <v>17</v>
      </c>
      <c r="D84" s="224"/>
      <c r="E84" s="224"/>
      <c r="F84" s="63">
        <f>EQUIPAMENTOS_LETAL44H</f>
        <v>0</v>
      </c>
    </row>
    <row r="85" spans="2:6" x14ac:dyDescent="0.3">
      <c r="B85" s="47" t="s">
        <v>5</v>
      </c>
      <c r="C85" s="307" t="str">
        <f>OUTROS_INSUMOS_DESCRICAO</f>
        <v>Outros (Especificar)</v>
      </c>
      <c r="D85" s="225"/>
      <c r="E85" s="225"/>
      <c r="F85" s="50">
        <f>OUTROS_INSUMOS</f>
        <v>0</v>
      </c>
    </row>
    <row r="86" spans="2:6" x14ac:dyDescent="0.3">
      <c r="B86" s="308" t="s">
        <v>48</v>
      </c>
      <c r="C86" s="308"/>
      <c r="D86" s="308"/>
      <c r="E86" s="308"/>
      <c r="F86" s="46">
        <f>SUM(F82:F85)</f>
        <v>0</v>
      </c>
    </row>
    <row r="87" spans="2:6" ht="10.5" customHeight="1" x14ac:dyDescent="0.3">
      <c r="B87" s="20"/>
      <c r="C87" s="21"/>
      <c r="D87" s="22"/>
      <c r="E87" s="18"/>
      <c r="F87" s="18"/>
    </row>
    <row r="88" spans="2:6" ht="15" customHeight="1" x14ac:dyDescent="0.3">
      <c r="B88" s="264" t="s">
        <v>78</v>
      </c>
      <c r="C88" s="264"/>
      <c r="D88" s="264"/>
      <c r="E88" s="264"/>
      <c r="F88" s="264"/>
    </row>
    <row r="89" spans="2:6" x14ac:dyDescent="0.3">
      <c r="B89" s="1">
        <v>6</v>
      </c>
      <c r="C89" s="216" t="s">
        <v>22</v>
      </c>
      <c r="D89" s="216"/>
      <c r="E89" s="5" t="s">
        <v>1</v>
      </c>
      <c r="F89" s="5" t="s">
        <v>13</v>
      </c>
    </row>
    <row r="90" spans="2:6" x14ac:dyDescent="0.3">
      <c r="B90" s="1" t="s">
        <v>2</v>
      </c>
      <c r="C90" s="277" t="s">
        <v>80</v>
      </c>
      <c r="D90" s="277"/>
      <c r="E90" s="64">
        <f>PERC_CUSTOS_INDIRETOS</f>
        <v>0</v>
      </c>
      <c r="F90" s="61">
        <f>PERC_CUSTOS_INDIRETOS%*(MOD_1_REMUNERACAO_44H+MOD_2_ENCARGOS_BENEFICIOS_44H+MOD_3_PROVISAO_RESCISAO_44H+MOD_4_CUSTO_REPOSICAO_44H+MOD_5_INSUMOS_44H)</f>
        <v>0</v>
      </c>
    </row>
    <row r="91" spans="2:6" ht="15.75" customHeight="1" x14ac:dyDescent="0.3">
      <c r="B91" s="2" t="s">
        <v>3</v>
      </c>
      <c r="C91" s="276" t="s">
        <v>34</v>
      </c>
      <c r="D91" s="276"/>
      <c r="E91" s="51">
        <f>PERC_LUCRO</f>
        <v>0</v>
      </c>
      <c r="F91" s="39">
        <f>PERC_LUCRO%*(MOD_1_REMUNERACAO_44H+MOD_2_ENCARGOS_BENEFICIOS_44H+MOD_3_PROVISAO_RESCISAO_44H+MOD_4_CUSTO_REPOSICAO_44H+MOD_5_INSUMOS_44H+AL_6_A_CUSTOS_INDIRETOS_44H)</f>
        <v>0</v>
      </c>
    </row>
    <row r="92" spans="2:6" x14ac:dyDescent="0.3">
      <c r="B92" s="2" t="s">
        <v>4</v>
      </c>
      <c r="C92" s="277" t="s">
        <v>23</v>
      </c>
      <c r="D92" s="277"/>
      <c r="E92" s="64">
        <f>SUM(E93:E95)</f>
        <v>0</v>
      </c>
      <c r="F92" s="61">
        <f>SUM(F93:F95)</f>
        <v>0</v>
      </c>
    </row>
    <row r="93" spans="2:6" ht="15.75" customHeight="1" x14ac:dyDescent="0.3">
      <c r="B93" s="34" t="s">
        <v>81</v>
      </c>
      <c r="C93" s="306" t="s">
        <v>25</v>
      </c>
      <c r="D93" s="306"/>
      <c r="E93" s="35">
        <f>PERC_PIS</f>
        <v>0</v>
      </c>
      <c r="F93" s="66">
        <f>((MOD_1_REMUNERACAO_44H+MOD_2_ENCARGOS_BENEFICIOS_44H+MOD_3_PROVISAO_RESCISAO_44H+MOD_4_CUSTO_REPOSICAO_44H+MOD_5_INSUMOS_44H+AL_6_A_CUSTOS_INDIRETOS_44H+AL_6_B_LUCRO_44H)*PERC_PIS%)/(1-PERC_TRIBUTOS%)</f>
        <v>0</v>
      </c>
    </row>
    <row r="94" spans="2:6" x14ac:dyDescent="0.3">
      <c r="B94" s="34" t="s">
        <v>82</v>
      </c>
      <c r="C94" s="309" t="s">
        <v>26</v>
      </c>
      <c r="D94" s="309"/>
      <c r="E94" s="65">
        <f>PERC_COFINS</f>
        <v>0</v>
      </c>
      <c r="F94" s="67">
        <f>((MOD_1_REMUNERACAO_44H+MOD_2_ENCARGOS_BENEFICIOS_44H+MOD_3_PROVISAO_RESCISAO_44H+MOD_4_CUSTO_REPOSICAO_44H+MOD_5_INSUMOS_44H+AL_6_A_CUSTOS_INDIRETOS_44H+AL_6_B_LUCRO_44H)*PERC_COFINS%)/(1-PERC_TRIBUTOS%)</f>
        <v>0</v>
      </c>
    </row>
    <row r="95" spans="2:6" s="106" customFormat="1" x14ac:dyDescent="0.3">
      <c r="B95" s="34" t="s">
        <v>83</v>
      </c>
      <c r="C95" s="306" t="s">
        <v>27</v>
      </c>
      <c r="D95" s="306"/>
      <c r="E95" s="35">
        <f>PERC_ISS</f>
        <v>0</v>
      </c>
      <c r="F95" s="66">
        <f>((MOD_1_REMUNERACAO_44H+MOD_2_ENCARGOS_BENEFICIOS_44H+MOD_3_PROVISAO_RESCISAO_44H+MOD_4_CUSTO_REPOSICAO_44H+MOD_5_INSUMOS_44H+AL_6_A_CUSTOS_INDIRETOS_44H+AL_6_B_LUCRO_44H)*PERC_ISS%)/(1-PERC_TRIBUTOS%)</f>
        <v>0</v>
      </c>
    </row>
    <row r="96" spans="2:6" s="106" customFormat="1" x14ac:dyDescent="0.3">
      <c r="B96" s="220" t="s">
        <v>48</v>
      </c>
      <c r="C96" s="221"/>
      <c r="D96" s="221"/>
      <c r="E96" s="222"/>
      <c r="F96" s="40">
        <f>AL_6_A_CUSTOS_INDIRETOS_44H+AL_6_B_LUCRO_44H+AL_6_C_TRIBUTOS_44H</f>
        <v>0</v>
      </c>
    </row>
    <row r="97" spans="2:6" ht="19.5" customHeight="1" x14ac:dyDescent="0.3">
      <c r="B97" s="20"/>
      <c r="C97" s="21"/>
      <c r="D97" s="22"/>
      <c r="E97" s="18"/>
      <c r="F97" s="18"/>
    </row>
    <row r="98" spans="2:6" s="106" customFormat="1" ht="30.75" customHeight="1" x14ac:dyDescent="0.3">
      <c r="B98" s="55" t="s">
        <v>55</v>
      </c>
      <c r="C98" s="19"/>
      <c r="D98" s="19"/>
      <c r="E98" s="19"/>
      <c r="F98" s="27"/>
    </row>
    <row r="99" spans="2:6" s="107" customFormat="1" ht="16.5" customHeight="1" x14ac:dyDescent="0.3">
      <c r="B99" s="2" t="s">
        <v>100</v>
      </c>
      <c r="C99" s="213" t="s">
        <v>101</v>
      </c>
      <c r="D99" s="214"/>
      <c r="E99" s="215"/>
      <c r="F99" s="5" t="s">
        <v>19</v>
      </c>
    </row>
    <row r="100" spans="2:6" s="106" customFormat="1" x14ac:dyDescent="0.3">
      <c r="B100" s="1">
        <v>1</v>
      </c>
      <c r="C100" s="277" t="s">
        <v>9</v>
      </c>
      <c r="D100" s="277"/>
      <c r="E100" s="277"/>
      <c r="F100" s="61">
        <f>MOD_1_REMUNERACAO_44H</f>
        <v>0</v>
      </c>
    </row>
    <row r="101" spans="2:6" s="108" customFormat="1" ht="16.5" customHeight="1" x14ac:dyDescent="0.3">
      <c r="B101" s="2">
        <v>2</v>
      </c>
      <c r="C101" s="276" t="s">
        <v>102</v>
      </c>
      <c r="D101" s="276"/>
      <c r="E101" s="276"/>
      <c r="F101" s="39">
        <f>MOD_2_ENCARGOS_BENEFICIOS_44H</f>
        <v>0</v>
      </c>
    </row>
    <row r="102" spans="2:6" s="108" customFormat="1" x14ac:dyDescent="0.3">
      <c r="B102" s="2">
        <v>3</v>
      </c>
      <c r="C102" s="277" t="s">
        <v>50</v>
      </c>
      <c r="D102" s="277"/>
      <c r="E102" s="277"/>
      <c r="F102" s="61">
        <f>MOD_3_PROVISAO_RESCISAO_44H</f>
        <v>0</v>
      </c>
    </row>
    <row r="103" spans="2:6" s="108" customFormat="1" x14ac:dyDescent="0.3">
      <c r="B103" s="2">
        <v>4</v>
      </c>
      <c r="C103" s="276" t="s">
        <v>53</v>
      </c>
      <c r="D103" s="276"/>
      <c r="E103" s="276"/>
      <c r="F103" s="39">
        <f>MOD_4_CUSTO_REPOSICAO_44H</f>
        <v>0</v>
      </c>
    </row>
    <row r="104" spans="2:6" s="108" customFormat="1" x14ac:dyDescent="0.3">
      <c r="B104" s="2">
        <v>5</v>
      </c>
      <c r="C104" s="277" t="s">
        <v>0</v>
      </c>
      <c r="D104" s="277"/>
      <c r="E104" s="277"/>
      <c r="F104" s="61">
        <f>MOD_5_INSUMOS_44H</f>
        <v>0</v>
      </c>
    </row>
    <row r="105" spans="2:6" s="108" customFormat="1" x14ac:dyDescent="0.3">
      <c r="B105" s="2">
        <v>6</v>
      </c>
      <c r="C105" s="276" t="s">
        <v>22</v>
      </c>
      <c r="D105" s="276"/>
      <c r="E105" s="276"/>
      <c r="F105" s="39">
        <f>MOD_6_CUSTOS_IND_LUCRO_TRIB_44H</f>
        <v>0</v>
      </c>
    </row>
    <row r="106" spans="2:6" ht="16.5" customHeight="1" x14ac:dyDescent="0.3">
      <c r="B106" s="279" t="s">
        <v>103</v>
      </c>
      <c r="C106" s="279"/>
      <c r="D106" s="279"/>
      <c r="E106" s="279"/>
      <c r="F106" s="40">
        <f>SUM(F100:F105)</f>
        <v>0</v>
      </c>
    </row>
    <row r="107" spans="2:6" ht="16.5" customHeight="1" x14ac:dyDescent="0.3">
      <c r="B107" s="279" t="s">
        <v>32</v>
      </c>
      <c r="C107" s="279"/>
      <c r="D107" s="279"/>
      <c r="E107" s="279"/>
      <c r="F107" s="40">
        <f>F106*EMPREG_POR_POSTO_44H</f>
        <v>0</v>
      </c>
    </row>
    <row r="108" spans="2:6" x14ac:dyDescent="0.3">
      <c r="B108" s="26"/>
      <c r="C108" s="19"/>
      <c r="D108" s="19"/>
      <c r="E108" s="19"/>
      <c r="F108" s="27"/>
    </row>
  </sheetData>
  <mergeCells count="88">
    <mergeCell ref="C104:E104"/>
    <mergeCell ref="C105:E105"/>
    <mergeCell ref="B106:E106"/>
    <mergeCell ref="B107:E107"/>
    <mergeCell ref="B96:E96"/>
    <mergeCell ref="C99:E99"/>
    <mergeCell ref="C100:E100"/>
    <mergeCell ref="C101:E101"/>
    <mergeCell ref="C102:E102"/>
    <mergeCell ref="C103:E103"/>
    <mergeCell ref="C95:D95"/>
    <mergeCell ref="C83:E83"/>
    <mergeCell ref="C84:E84"/>
    <mergeCell ref="C85:E85"/>
    <mergeCell ref="B86:E86"/>
    <mergeCell ref="B88:F88"/>
    <mergeCell ref="C89:D89"/>
    <mergeCell ref="C90:D90"/>
    <mergeCell ref="C91:D91"/>
    <mergeCell ref="C92:D92"/>
    <mergeCell ref="C93:D93"/>
    <mergeCell ref="C94:D94"/>
    <mergeCell ref="C82:E82"/>
    <mergeCell ref="B62:E62"/>
    <mergeCell ref="C66:D66"/>
    <mergeCell ref="C67:D67"/>
    <mergeCell ref="C68:D68"/>
    <mergeCell ref="C69:D69"/>
    <mergeCell ref="C70:D70"/>
    <mergeCell ref="C71:D71"/>
    <mergeCell ref="C72:D72"/>
    <mergeCell ref="B73:E73"/>
    <mergeCell ref="B78:E78"/>
    <mergeCell ref="C81:E81"/>
    <mergeCell ref="C61:D61"/>
    <mergeCell ref="B47:E47"/>
    <mergeCell ref="C49:E49"/>
    <mergeCell ref="C50:E50"/>
    <mergeCell ref="C51:E51"/>
    <mergeCell ref="C52:E52"/>
    <mergeCell ref="C53:E53"/>
    <mergeCell ref="C54:E54"/>
    <mergeCell ref="B55:E55"/>
    <mergeCell ref="C58:D58"/>
    <mergeCell ref="C59:D59"/>
    <mergeCell ref="C60:D60"/>
    <mergeCell ref="C46:D46"/>
    <mergeCell ref="C35:D35"/>
    <mergeCell ref="B36:E36"/>
    <mergeCell ref="B37:F37"/>
    <mergeCell ref="C38:D38"/>
    <mergeCell ref="C39:D39"/>
    <mergeCell ref="C40:D40"/>
    <mergeCell ref="C41:D41"/>
    <mergeCell ref="C42:D42"/>
    <mergeCell ref="C43:D43"/>
    <mergeCell ref="C44:D44"/>
    <mergeCell ref="C45:D45"/>
    <mergeCell ref="C34:D34"/>
    <mergeCell ref="C18:E18"/>
    <mergeCell ref="B20:F20"/>
    <mergeCell ref="B21:E21"/>
    <mergeCell ref="C23:E23"/>
    <mergeCell ref="C24:E24"/>
    <mergeCell ref="C25:E25"/>
    <mergeCell ref="C26:E26"/>
    <mergeCell ref="C27:E27"/>
    <mergeCell ref="C28:E28"/>
    <mergeCell ref="B29:E29"/>
    <mergeCell ref="C33:D33"/>
    <mergeCell ref="D17:F17"/>
    <mergeCell ref="B6:C6"/>
    <mergeCell ref="D6:E6"/>
    <mergeCell ref="B7:F7"/>
    <mergeCell ref="C8:E8"/>
    <mergeCell ref="D9:F9"/>
    <mergeCell ref="C10:E10"/>
    <mergeCell ref="C11:E11"/>
    <mergeCell ref="C12:E12"/>
    <mergeCell ref="C15:D15"/>
    <mergeCell ref="E15:F15"/>
    <mergeCell ref="D16:F16"/>
    <mergeCell ref="B1:F1"/>
    <mergeCell ref="B2:D2"/>
    <mergeCell ref="B3:F3"/>
    <mergeCell ref="B4:F4"/>
    <mergeCell ref="B5:C5"/>
    <mergeCell ref="D5:F5"/>
  </mergeCells>
  <printOptions horizontalCentered="1"/>
  <pageMargins left="0.17" right="0.17" top="0.23" bottom="0.17" header="0.25" footer="0.17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H103"/>
  <sheetViews>
    <sheetView topLeftCell="A15" zoomScaleNormal="100" zoomScaleSheetLayoutView="100" workbookViewId="0">
      <selection activeCell="F25" sqref="F25"/>
    </sheetView>
  </sheetViews>
  <sheetFormatPr defaultRowHeight="16.5" x14ac:dyDescent="0.3"/>
  <cols>
    <col min="1" max="1" width="2.7109375" style="17" customWidth="1"/>
    <col min="2" max="2" width="8.85546875" style="17" customWidth="1"/>
    <col min="3" max="3" width="52.5703125" style="23" customWidth="1"/>
    <col min="4" max="4" width="7.85546875" style="23" customWidth="1"/>
    <col min="5" max="5" width="13.5703125" style="23" customWidth="1"/>
    <col min="6" max="6" width="15.42578125" style="23" bestFit="1" customWidth="1"/>
    <col min="7" max="7" width="9.140625" style="17"/>
    <col min="8" max="8" width="65.28515625" style="17" customWidth="1"/>
    <col min="9" max="10" width="12.5703125" style="17" bestFit="1" customWidth="1"/>
    <col min="11" max="16384" width="9.140625" style="17"/>
  </cols>
  <sheetData>
    <row r="1" spans="2:6" ht="20.25" x14ac:dyDescent="0.35">
      <c r="B1" s="282" t="str">
        <f>RAMO</f>
        <v>RAMO:</v>
      </c>
      <c r="C1" s="283"/>
      <c r="D1" s="283"/>
      <c r="E1" s="283"/>
      <c r="F1" s="284"/>
    </row>
    <row r="2" spans="2:6" ht="20.25" x14ac:dyDescent="0.35">
      <c r="B2" s="285" t="str">
        <f>UG</f>
        <v>UNIDADE GESTORA (SIGLA):</v>
      </c>
      <c r="C2" s="286"/>
      <c r="D2" s="287"/>
      <c r="E2" s="111" t="s">
        <v>59</v>
      </c>
      <c r="F2" s="112" t="str">
        <f>DATA_DO_ORCAMENTO_ESTIMATIVO</f>
        <v>XX/XX/20XX</v>
      </c>
    </row>
    <row r="3" spans="2:6" s="96" customFormat="1" ht="25.5" x14ac:dyDescent="0.5">
      <c r="B3" s="237" t="s">
        <v>56</v>
      </c>
      <c r="C3" s="237"/>
      <c r="D3" s="237"/>
      <c r="E3" s="237"/>
      <c r="F3" s="237"/>
    </row>
    <row r="4" spans="2:6" s="96" customFormat="1" ht="15.95" customHeight="1" x14ac:dyDescent="0.3">
      <c r="B4" s="238" t="s">
        <v>99</v>
      </c>
      <c r="C4" s="238"/>
      <c r="D4" s="238"/>
      <c r="E4" s="238"/>
      <c r="F4" s="238"/>
    </row>
    <row r="5" spans="2:6" s="96" customFormat="1" ht="15.95" customHeight="1" x14ac:dyDescent="0.3">
      <c r="B5" s="246" t="s">
        <v>235</v>
      </c>
      <c r="C5" s="246"/>
      <c r="D5" s="288" t="str">
        <f>NUMERO_PROCESSO</f>
        <v>X.XX.XXX.XXXXXX/20XX-XX</v>
      </c>
      <c r="E5" s="288"/>
      <c r="F5" s="288"/>
    </row>
    <row r="6" spans="2:6" s="96" customFormat="1" ht="15.75" customHeight="1" x14ac:dyDescent="0.3">
      <c r="B6" s="250" t="s">
        <v>236</v>
      </c>
      <c r="C6" s="250"/>
      <c r="D6" s="289" t="str">
        <f>MODALIDADE_DE_LICITACAO</f>
        <v>Pregão nº</v>
      </c>
      <c r="E6" s="289"/>
      <c r="F6" s="116" t="str">
        <f>NUMERO_PREGAO</f>
        <v>XX/20XX</v>
      </c>
    </row>
    <row r="7" spans="2:6" s="97" customFormat="1" ht="15.75" customHeight="1" x14ac:dyDescent="0.3">
      <c r="B7" s="290" t="s">
        <v>60</v>
      </c>
      <c r="C7" s="290"/>
      <c r="D7" s="290"/>
      <c r="E7" s="290"/>
      <c r="F7" s="290"/>
    </row>
    <row r="8" spans="2:6" s="96" customFormat="1" ht="18" customHeight="1" x14ac:dyDescent="0.3">
      <c r="B8" s="29" t="s">
        <v>2</v>
      </c>
      <c r="C8" s="246" t="s">
        <v>65</v>
      </c>
      <c r="D8" s="246"/>
      <c r="E8" s="246"/>
      <c r="F8" s="117" t="str">
        <f>DATA_APRESENTACAO_PROPOSTA</f>
        <v>XX/XX/20XX</v>
      </c>
    </row>
    <row r="9" spans="2:6" s="96" customFormat="1" ht="15.95" customHeight="1" x14ac:dyDescent="0.15">
      <c r="B9" s="1" t="s">
        <v>3</v>
      </c>
      <c r="C9" s="70" t="s">
        <v>38</v>
      </c>
      <c r="D9" s="291" t="str">
        <f>IF(LOCAL_DE_EXECUCAO="","",LOCAL_DE_EXECUCAO)</f>
        <v/>
      </c>
      <c r="E9" s="291"/>
      <c r="F9" s="291"/>
    </row>
    <row r="10" spans="2:6" s="96" customFormat="1" ht="18.75" customHeight="1" x14ac:dyDescent="0.3">
      <c r="B10" s="29" t="s">
        <v>4</v>
      </c>
      <c r="C10" s="246" t="s">
        <v>39</v>
      </c>
      <c r="D10" s="246"/>
      <c r="E10" s="246"/>
      <c r="F10" s="118" t="str">
        <f>ACORDO_COLETIVO</f>
        <v>XX/20XX</v>
      </c>
    </row>
    <row r="11" spans="2:6" s="96" customFormat="1" ht="15.95" customHeight="1" x14ac:dyDescent="0.3">
      <c r="B11" s="1" t="s">
        <v>5</v>
      </c>
      <c r="C11" s="291" t="s">
        <v>66</v>
      </c>
      <c r="D11" s="291"/>
      <c r="E11" s="291"/>
      <c r="F11" s="119">
        <f>NUMERO_MESES_EXEC_CONTRATUAL</f>
        <v>12</v>
      </c>
    </row>
    <row r="12" spans="2:6" s="96" customFormat="1" x14ac:dyDescent="0.3">
      <c r="B12" s="1" t="s">
        <v>6</v>
      </c>
      <c r="C12" s="292" t="s">
        <v>87</v>
      </c>
      <c r="D12" s="292"/>
      <c r="E12" s="292"/>
      <c r="F12" s="100">
        <f>IF(QTDE_DE_POSTOS_SUP_DIU_44=0,"",QTDE_DE_POSTOS_SUP_DIU_44)</f>
        <v>1</v>
      </c>
    </row>
    <row r="13" spans="2:6" s="96" customFormat="1" ht="7.5" customHeight="1" x14ac:dyDescent="0.3">
      <c r="B13" s="120"/>
      <c r="C13" s="121"/>
      <c r="D13" s="121"/>
      <c r="E13" s="121"/>
      <c r="F13" s="102"/>
    </row>
    <row r="14" spans="2:6" s="96" customFormat="1" ht="21" customHeight="1" x14ac:dyDescent="0.5">
      <c r="B14" s="104" t="s">
        <v>216</v>
      </c>
      <c r="C14" s="17"/>
      <c r="D14" s="17"/>
      <c r="E14" s="17"/>
      <c r="F14" s="17"/>
    </row>
    <row r="15" spans="2:6" s="96" customFormat="1" x14ac:dyDescent="0.3">
      <c r="B15" s="29">
        <v>1</v>
      </c>
      <c r="C15" s="202" t="s">
        <v>62</v>
      </c>
      <c r="D15" s="202"/>
      <c r="E15" s="239" t="str">
        <f>TIPO_DE_SERVICO</f>
        <v>Vigilância</v>
      </c>
      <c r="F15" s="239"/>
    </row>
    <row r="16" spans="2:6" s="97" customFormat="1" x14ac:dyDescent="0.3">
      <c r="B16" s="29">
        <v>2</v>
      </c>
      <c r="C16" s="31" t="s">
        <v>61</v>
      </c>
      <c r="D16" s="293">
        <f>CBO_SUPER</f>
        <v>0</v>
      </c>
      <c r="E16" s="293"/>
      <c r="F16" s="293"/>
    </row>
    <row r="17" spans="2:6" s="96" customFormat="1" ht="15" customHeight="1" x14ac:dyDescent="0.3">
      <c r="B17" s="29">
        <v>3</v>
      </c>
      <c r="C17" s="59" t="s">
        <v>63</v>
      </c>
      <c r="D17" s="239">
        <f>CATEGORIA_PROFISSIONAL</f>
        <v>0</v>
      </c>
      <c r="E17" s="239"/>
      <c r="F17" s="239"/>
    </row>
    <row r="18" spans="2:6" s="96" customFormat="1" ht="15" customHeight="1" x14ac:dyDescent="0.3">
      <c r="B18" s="29">
        <v>4</v>
      </c>
      <c r="C18" s="257" t="s">
        <v>64</v>
      </c>
      <c r="D18" s="257"/>
      <c r="E18" s="257"/>
      <c r="F18" s="133" t="str">
        <f>DATA_BASE_CATEGORIA</f>
        <v>XX/XX/20XX</v>
      </c>
    </row>
    <row r="19" spans="2:6" s="96" customFormat="1" ht="15" customHeight="1" x14ac:dyDescent="0.3">
      <c r="B19" s="32"/>
      <c r="C19" s="33"/>
      <c r="D19" s="33"/>
      <c r="E19" s="33"/>
      <c r="F19" s="103"/>
    </row>
    <row r="20" spans="2:6" s="122" customFormat="1" ht="30" customHeight="1" x14ac:dyDescent="0.3">
      <c r="B20" s="296" t="s">
        <v>42</v>
      </c>
      <c r="C20" s="296"/>
      <c r="D20" s="296"/>
      <c r="E20" s="296"/>
      <c r="F20" s="296"/>
    </row>
    <row r="21" spans="2:6" x14ac:dyDescent="0.3">
      <c r="B21" s="216" t="s">
        <v>54</v>
      </c>
      <c r="C21" s="216"/>
      <c r="D21" s="216"/>
      <c r="E21" s="216"/>
      <c r="F21" s="115">
        <v>2</v>
      </c>
    </row>
    <row r="22" spans="2:6" x14ac:dyDescent="0.3">
      <c r="B22" s="54" t="s">
        <v>8</v>
      </c>
      <c r="E22" s="18"/>
      <c r="F22" s="18"/>
    </row>
    <row r="23" spans="2:6" x14ac:dyDescent="0.3">
      <c r="B23" s="1">
        <v>1</v>
      </c>
      <c r="C23" s="203" t="s">
        <v>9</v>
      </c>
      <c r="D23" s="297"/>
      <c r="E23" s="204"/>
      <c r="F23" s="5" t="s">
        <v>13</v>
      </c>
    </row>
    <row r="24" spans="2:6" x14ac:dyDescent="0.3">
      <c r="B24" s="1" t="s">
        <v>2</v>
      </c>
      <c r="C24" s="294" t="s">
        <v>94</v>
      </c>
      <c r="D24" s="295"/>
      <c r="E24" s="298"/>
      <c r="F24" s="60">
        <f>SALARIO_BASE_SUPER</f>
        <v>0</v>
      </c>
    </row>
    <row r="25" spans="2:6" x14ac:dyDescent="0.3">
      <c r="B25" s="1" t="s">
        <v>3</v>
      </c>
      <c r="C25" s="207" t="s">
        <v>96</v>
      </c>
      <c r="D25" s="208"/>
      <c r="E25" s="209"/>
      <c r="F25" s="14">
        <f>PERC_ADIC_PERIC%*SALARIO_BASE_SUPER</f>
        <v>0</v>
      </c>
    </row>
    <row r="26" spans="2:6" x14ac:dyDescent="0.3">
      <c r="B26" s="1" t="s">
        <v>4</v>
      </c>
      <c r="C26" s="294" t="str">
        <f>OUTROS_REMUNERACAO_1_DESCRICAO</f>
        <v>Outras Remunerações 1 (Especificar)</v>
      </c>
      <c r="D26" s="295"/>
      <c r="E26" s="298"/>
      <c r="F26" s="60">
        <f>OUTROS_REMUNERACAO_1</f>
        <v>0</v>
      </c>
    </row>
    <row r="27" spans="2:6" x14ac:dyDescent="0.3">
      <c r="B27" s="1" t="s">
        <v>5</v>
      </c>
      <c r="C27" s="299" t="str">
        <f>OUTROS_REMUNERACAO_2_DESCRICAO</f>
        <v>Outras Remunerações 2 (Especificar)</v>
      </c>
      <c r="D27" s="300"/>
      <c r="E27" s="301"/>
      <c r="F27" s="14">
        <f>OUTROS_REMUNERACAO_2</f>
        <v>0</v>
      </c>
    </row>
    <row r="28" spans="2:6" x14ac:dyDescent="0.3">
      <c r="B28" s="1" t="s">
        <v>6</v>
      </c>
      <c r="C28" s="294" t="str">
        <f>OUTROS_REMUNERACAO_3_DESCRICAO</f>
        <v>Outras Remunerações 3 (Especificar)</v>
      </c>
      <c r="D28" s="295"/>
      <c r="E28" s="298"/>
      <c r="F28" s="60">
        <f>OUTROS_REMUNERACAO_3</f>
        <v>0</v>
      </c>
    </row>
    <row r="29" spans="2:6" x14ac:dyDescent="0.3">
      <c r="B29" s="220" t="s">
        <v>48</v>
      </c>
      <c r="C29" s="221"/>
      <c r="D29" s="221"/>
      <c r="E29" s="222"/>
      <c r="F29" s="43">
        <f>SUM(F24:F28)</f>
        <v>0</v>
      </c>
    </row>
    <row r="30" spans="2:6" x14ac:dyDescent="0.3">
      <c r="B30" s="54" t="s">
        <v>67</v>
      </c>
      <c r="E30" s="25"/>
      <c r="F30" s="25"/>
    </row>
    <row r="31" spans="2:6" x14ac:dyDescent="0.3">
      <c r="B31" s="54" t="s">
        <v>112</v>
      </c>
      <c r="C31" s="16"/>
      <c r="D31" s="26"/>
      <c r="E31" s="24"/>
      <c r="F31" s="24"/>
    </row>
    <row r="32" spans="2:6" x14ac:dyDescent="0.3">
      <c r="B32" s="1" t="s">
        <v>68</v>
      </c>
      <c r="C32" s="220" t="s">
        <v>95</v>
      </c>
      <c r="D32" s="222"/>
      <c r="E32" s="5" t="s">
        <v>1</v>
      </c>
      <c r="F32" s="5" t="s">
        <v>13</v>
      </c>
    </row>
    <row r="33" spans="2:8" x14ac:dyDescent="0.3">
      <c r="B33" s="1" t="s">
        <v>2</v>
      </c>
      <c r="C33" s="294" t="s">
        <v>49</v>
      </c>
      <c r="D33" s="295"/>
      <c r="E33" s="62">
        <f>PERC_DEC_TERC</f>
        <v>8.33</v>
      </c>
      <c r="F33" s="61">
        <f>PERC_DEC_TERC%*MOD_1_REMUNERACAO_12X36_DIU</f>
        <v>0</v>
      </c>
    </row>
    <row r="34" spans="2:8" s="21" customFormat="1" x14ac:dyDescent="0.3">
      <c r="B34" s="2" t="s">
        <v>3</v>
      </c>
      <c r="C34" s="207" t="s">
        <v>97</v>
      </c>
      <c r="D34" s="209"/>
      <c r="E34" s="41">
        <f>PERC_ADIC_FERIAS</f>
        <v>2.78</v>
      </c>
      <c r="F34" s="39">
        <f>PERC_ADIC_FERIAS%*MOD_1_REMUNERACAO_12X36_DIU</f>
        <v>0</v>
      </c>
    </row>
    <row r="35" spans="2:8" s="105" customFormat="1" x14ac:dyDescent="0.3">
      <c r="B35" s="220" t="s">
        <v>48</v>
      </c>
      <c r="C35" s="221"/>
      <c r="D35" s="221"/>
      <c r="E35" s="222"/>
      <c r="F35" s="44">
        <f>SUM(F33:F34)</f>
        <v>0</v>
      </c>
    </row>
    <row r="36" spans="2:8" s="105" customFormat="1" ht="31.5" customHeight="1" x14ac:dyDescent="0.3">
      <c r="B36" s="302" t="s">
        <v>70</v>
      </c>
      <c r="C36" s="302"/>
      <c r="D36" s="302"/>
      <c r="E36" s="302"/>
      <c r="F36" s="302"/>
    </row>
    <row r="37" spans="2:8" s="105" customFormat="1" ht="34.5" customHeight="1" x14ac:dyDescent="0.3">
      <c r="B37" s="1" t="s">
        <v>71</v>
      </c>
      <c r="C37" s="303" t="s">
        <v>98</v>
      </c>
      <c r="D37" s="304"/>
      <c r="E37" s="5" t="s">
        <v>1</v>
      </c>
      <c r="F37" s="5" t="s">
        <v>13</v>
      </c>
    </row>
    <row r="38" spans="2:8" x14ac:dyDescent="0.3">
      <c r="B38" s="1" t="s">
        <v>2</v>
      </c>
      <c r="C38" s="294" t="s">
        <v>43</v>
      </c>
      <c r="D38" s="295"/>
      <c r="E38" s="62">
        <f>PERC_INSS</f>
        <v>20</v>
      </c>
      <c r="F38" s="61">
        <f>PERC_INSS%*(MOD_1_REMUNERACAO_12X36_DIU+SUBMOD_2_1_DEC_TERC_ADIC_FERIAS_12X36_DIU)</f>
        <v>0</v>
      </c>
    </row>
    <row r="39" spans="2:8" s="96" customFormat="1" x14ac:dyDescent="0.3">
      <c r="B39" s="2" t="s">
        <v>3</v>
      </c>
      <c r="C39" s="207" t="s">
        <v>45</v>
      </c>
      <c r="D39" s="209"/>
      <c r="E39" s="49">
        <f>PERC_SAL_EDUCACAO</f>
        <v>2.5</v>
      </c>
      <c r="F39" s="39">
        <f>PERC_SAL_EDUCACAO%*(MOD_1_REMUNERACAO_12X36_DIU+SUBMOD_2_1_DEC_TERC_ADIC_FERIAS_12X36_DIU)</f>
        <v>0</v>
      </c>
      <c r="G39" s="17"/>
      <c r="H39" s="17"/>
    </row>
    <row r="40" spans="2:8" s="96" customFormat="1" x14ac:dyDescent="0.3">
      <c r="B40" s="2" t="s">
        <v>4</v>
      </c>
      <c r="C40" s="294" t="s">
        <v>92</v>
      </c>
      <c r="D40" s="295"/>
      <c r="E40" s="62">
        <f>PERC_RAT</f>
        <v>3</v>
      </c>
      <c r="F40" s="61">
        <f>PERC_RAT%*(MOD_1_REMUNERACAO_12X36_DIU+SUBMOD_2_1_DEC_TERC_ADIC_FERIAS_12X36_DIU)</f>
        <v>0</v>
      </c>
      <c r="G40" s="17"/>
      <c r="H40" s="17"/>
    </row>
    <row r="41" spans="2:8" s="96" customFormat="1" x14ac:dyDescent="0.3">
      <c r="B41" s="2" t="s">
        <v>5</v>
      </c>
      <c r="C41" s="207" t="s">
        <v>90</v>
      </c>
      <c r="D41" s="209"/>
      <c r="E41" s="41">
        <f>PERC_SESC</f>
        <v>1.5</v>
      </c>
      <c r="F41" s="39">
        <f>PERC_SESC%*(MOD_1_REMUNERACAO_12X36_DIU+SUBMOD_2_1_DEC_TERC_ADIC_FERIAS_12X36_DIU)</f>
        <v>0</v>
      </c>
      <c r="G41" s="17"/>
      <c r="H41" s="17"/>
    </row>
    <row r="42" spans="2:8" s="96" customFormat="1" x14ac:dyDescent="0.3">
      <c r="B42" s="2" t="s">
        <v>6</v>
      </c>
      <c r="C42" s="294" t="s">
        <v>91</v>
      </c>
      <c r="D42" s="295"/>
      <c r="E42" s="62">
        <f>PERC_SENAC</f>
        <v>1</v>
      </c>
      <c r="F42" s="61">
        <f>PERC_SENAC%*(MOD_1_REMUNERACAO_12X36_DIU+SUBMOD_2_1_DEC_TERC_ADIC_FERIAS_12X36_DIU)</f>
        <v>0</v>
      </c>
      <c r="G42" s="17"/>
      <c r="H42" s="17"/>
    </row>
    <row r="43" spans="2:8" s="97" customFormat="1" x14ac:dyDescent="0.3">
      <c r="B43" s="2" t="s">
        <v>7</v>
      </c>
      <c r="C43" s="207" t="s">
        <v>47</v>
      </c>
      <c r="D43" s="209"/>
      <c r="E43" s="49">
        <f>PERC_SEBRAE</f>
        <v>0.6</v>
      </c>
      <c r="F43" s="39">
        <f>PERC_SEBRAE%*(MOD_1_REMUNERACAO_12X36_DIU+SUBMOD_2_1_DEC_TERC_ADIC_FERIAS_12X36_DIU)</f>
        <v>0</v>
      </c>
      <c r="G43" s="17"/>
      <c r="H43" s="17"/>
    </row>
    <row r="44" spans="2:8" s="97" customFormat="1" x14ac:dyDescent="0.3">
      <c r="B44" s="2" t="s">
        <v>10</v>
      </c>
      <c r="C44" s="294" t="s">
        <v>44</v>
      </c>
      <c r="D44" s="295"/>
      <c r="E44" s="62">
        <f>PERC_INCRA</f>
        <v>0.2</v>
      </c>
      <c r="F44" s="61">
        <f>PERC_INCRA%*(MOD_1_REMUNERACAO_12X36_DIU+SUBMOD_2_1_DEC_TERC_ADIC_FERIAS_12X36_DIU)</f>
        <v>0</v>
      </c>
      <c r="G44" s="17"/>
      <c r="H44" s="17"/>
    </row>
    <row r="45" spans="2:8" x14ac:dyDescent="0.3">
      <c r="B45" s="2" t="s">
        <v>11</v>
      </c>
      <c r="C45" s="207" t="s">
        <v>46</v>
      </c>
      <c r="D45" s="209"/>
      <c r="E45" s="49">
        <f>PERC_FGTS</f>
        <v>8</v>
      </c>
      <c r="F45" s="39">
        <f>PERC_FGTS%*(MOD_1_REMUNERACAO_12X36_DIU+SUBMOD_2_1_DEC_TERC_ADIC_FERIAS_12X36_DIU)</f>
        <v>0</v>
      </c>
    </row>
    <row r="46" spans="2:8" x14ac:dyDescent="0.3">
      <c r="B46" s="220" t="s">
        <v>48</v>
      </c>
      <c r="C46" s="221"/>
      <c r="D46" s="221"/>
      <c r="E46" s="222"/>
      <c r="F46" s="45">
        <f>SUM(F38:F45)</f>
        <v>0</v>
      </c>
    </row>
    <row r="47" spans="2:8" ht="15.75" customHeight="1" x14ac:dyDescent="0.3">
      <c r="B47" s="54" t="s">
        <v>73</v>
      </c>
      <c r="C47" s="97"/>
      <c r="D47" s="97"/>
      <c r="E47" s="97"/>
      <c r="F47" s="97"/>
    </row>
    <row r="48" spans="2:8" ht="15.75" customHeight="1" x14ac:dyDescent="0.3">
      <c r="B48" s="1" t="s">
        <v>93</v>
      </c>
      <c r="C48" s="220" t="s">
        <v>14</v>
      </c>
      <c r="D48" s="221"/>
      <c r="E48" s="222"/>
      <c r="F48" s="5" t="s">
        <v>13</v>
      </c>
    </row>
    <row r="49" spans="2:7" x14ac:dyDescent="0.3">
      <c r="B49" s="29" t="s">
        <v>2</v>
      </c>
      <c r="C49" s="294" t="s">
        <v>15</v>
      </c>
      <c r="D49" s="295"/>
      <c r="E49" s="298"/>
      <c r="F49" s="61">
        <f>IF(((TRANSPORTE_POR_DIA*DIAS_TRABALHADOS_NO_MES_12X36)-(PERC_DESC_TRANSP_REMUNERACAO%*(AL_1_A_SAL_BASE_12X36_DIU/2)))&gt;0,((TRANSPORTE_POR_DIA*DIAS_TRABALHADOS_NO_MES_12X36)-(PERC_DESC_TRANSP_REMUNERACAO%*(AL_1_A_SAL_BASE_12X36_DIU/2))),0)</f>
        <v>0</v>
      </c>
    </row>
    <row r="50" spans="2:7" s="105" customFormat="1" x14ac:dyDescent="0.3">
      <c r="B50" s="29" t="s">
        <v>3</v>
      </c>
      <c r="C50" s="207" t="s">
        <v>72</v>
      </c>
      <c r="D50" s="208"/>
      <c r="E50" s="209"/>
      <c r="F50" s="39">
        <f>ALIMENTACAO_POR_DIA*DIAS_TRABALHADOS_NO_MES_12X36</f>
        <v>0</v>
      </c>
      <c r="G50" s="17"/>
    </row>
    <row r="51" spans="2:7" s="105" customFormat="1" x14ac:dyDescent="0.3">
      <c r="B51" s="29" t="s">
        <v>4</v>
      </c>
      <c r="C51" s="294" t="str">
        <f>OUTROS_BENEFICIOS_1_DESCRICAO</f>
        <v>Outros Benefícios 1 (Especificar)</v>
      </c>
      <c r="D51" s="295"/>
      <c r="E51" s="298"/>
      <c r="F51" s="61">
        <f>OUTROS_BENEFICIOS_1</f>
        <v>0</v>
      </c>
      <c r="G51" s="17"/>
    </row>
    <row r="52" spans="2:7" s="105" customFormat="1" x14ac:dyDescent="0.3">
      <c r="B52" s="29" t="s">
        <v>5</v>
      </c>
      <c r="C52" s="299" t="str">
        <f>OUTROS_BENEFICIOS_2_DESCRICAO</f>
        <v>Outros Benefícios 2 (Especificar)</v>
      </c>
      <c r="D52" s="300"/>
      <c r="E52" s="301"/>
      <c r="F52" s="39">
        <f>OUTROS_BENEFICIOS_2</f>
        <v>0</v>
      </c>
      <c r="G52" s="17"/>
    </row>
    <row r="53" spans="2:7" s="105" customFormat="1" x14ac:dyDescent="0.3">
      <c r="B53" s="29" t="s">
        <v>6</v>
      </c>
      <c r="C53" s="294" t="str">
        <f>OUTROS_BENEFICIOS_3_DESCRICAO</f>
        <v>Outros Benefícios 3 (Especificar)</v>
      </c>
      <c r="D53" s="295"/>
      <c r="E53" s="298"/>
      <c r="F53" s="61">
        <f>OUTROS_BENEFICIOS_3</f>
        <v>0</v>
      </c>
    </row>
    <row r="54" spans="2:7" s="105" customFormat="1" ht="15" customHeight="1" x14ac:dyDescent="0.3">
      <c r="B54" s="220" t="s">
        <v>48</v>
      </c>
      <c r="C54" s="221"/>
      <c r="D54" s="221"/>
      <c r="E54" s="222"/>
      <c r="F54" s="43">
        <f>SUM(F49:F53)</f>
        <v>0</v>
      </c>
    </row>
    <row r="55" spans="2:7" s="105" customFormat="1" x14ac:dyDescent="0.3">
      <c r="B55" s="54" t="s">
        <v>74</v>
      </c>
      <c r="C55" s="16"/>
      <c r="D55" s="26"/>
      <c r="E55" s="24"/>
      <c r="F55" s="24"/>
    </row>
    <row r="56" spans="2:7" s="105" customFormat="1" ht="15" customHeight="1" x14ac:dyDescent="0.3">
      <c r="B56" s="1">
        <v>3</v>
      </c>
      <c r="C56" s="216" t="s">
        <v>50</v>
      </c>
      <c r="D56" s="216"/>
      <c r="E56" s="5" t="s">
        <v>1</v>
      </c>
      <c r="F56" s="5" t="s">
        <v>13</v>
      </c>
    </row>
    <row r="57" spans="2:7" s="105" customFormat="1" x14ac:dyDescent="0.3">
      <c r="B57" s="1" t="s">
        <v>2</v>
      </c>
      <c r="C57" s="278" t="s">
        <v>51</v>
      </c>
      <c r="D57" s="278"/>
      <c r="E57" s="62">
        <f>PERC_AVISO_PREVIO_IND</f>
        <v>0.28999999999999998</v>
      </c>
      <c r="F57" s="61">
        <f>PERC_AVISO_PREVIO_IND%*(MOD_1_REMUNERACAO_12X36_DIU+SUBMOD_2_1_DEC_TERC_ADIC_FERIAS_12X36_DIU+AL_2_2_FGTS_12X36_DIU+SUBMOD_2_3_BENEFICIOS_12X36_DIU)</f>
        <v>0</v>
      </c>
    </row>
    <row r="58" spans="2:7" s="105" customFormat="1" x14ac:dyDescent="0.3">
      <c r="B58" s="2" t="s">
        <v>3</v>
      </c>
      <c r="C58" s="280" t="s">
        <v>52</v>
      </c>
      <c r="D58" s="280"/>
      <c r="E58" s="49">
        <f>PERC_AVISO_PREVIO_TRAB</f>
        <v>1.1599999999999999</v>
      </c>
      <c r="F58" s="39">
        <f>PERC_AVISO_PREVIO_TRAB%*(MOD_1_REMUNERACAO_12X36_DIU+SUBMOD_2_1_DEC_TERC_ADIC_FERIAS_12X36_DIU+SUBMOD_2_2_GPS_FGTS_12X36_DIU+SUBMOD_2_3_BENEFICIOS_12X36_DIU)</f>
        <v>0</v>
      </c>
    </row>
    <row r="59" spans="2:7" s="96" customFormat="1" x14ac:dyDescent="0.15">
      <c r="B59" s="2" t="s">
        <v>4</v>
      </c>
      <c r="C59" s="278" t="s">
        <v>244</v>
      </c>
      <c r="D59" s="278"/>
      <c r="E59" s="62">
        <f>PERC_MULTA_FGTS_AV_PREV_TRAB</f>
        <v>0.04</v>
      </c>
      <c r="F59" s="61">
        <f>PERC_MULTA_FGTS_AV_PREV_TRAB%*(MOD_1_REMUNERACAO_12X36_DIU+SUBMOD_2_1_DEC_TERC_ADIC_FERIAS_12X36_DIU)</f>
        <v>0</v>
      </c>
    </row>
    <row r="60" spans="2:7" s="96" customFormat="1" x14ac:dyDescent="0.3">
      <c r="B60" s="220" t="s">
        <v>48</v>
      </c>
      <c r="C60" s="221"/>
      <c r="D60" s="221"/>
      <c r="E60" s="222"/>
      <c r="F60" s="44">
        <f>SUM(F57:F59)</f>
        <v>0</v>
      </c>
    </row>
    <row r="61" spans="2:7" ht="7.5" customHeight="1" x14ac:dyDescent="0.3">
      <c r="B61" s="20"/>
      <c r="C61" s="21"/>
      <c r="D61" s="22"/>
      <c r="E61" s="18"/>
      <c r="F61" s="18"/>
    </row>
    <row r="62" spans="2:7" s="96" customFormat="1" ht="15.95" customHeight="1" x14ac:dyDescent="0.3">
      <c r="B62" s="54" t="s">
        <v>75</v>
      </c>
      <c r="C62" s="16"/>
      <c r="D62" s="26"/>
      <c r="E62" s="17"/>
      <c r="F62" s="17"/>
    </row>
    <row r="63" spans="2:7" s="96" customFormat="1" ht="15.95" customHeight="1" x14ac:dyDescent="0.3">
      <c r="B63" s="54" t="s">
        <v>104</v>
      </c>
      <c r="C63" s="16"/>
      <c r="D63" s="26"/>
      <c r="E63" s="24"/>
      <c r="F63" s="24"/>
    </row>
    <row r="64" spans="2:7" s="96" customFormat="1" x14ac:dyDescent="0.15">
      <c r="B64" s="1" t="s">
        <v>20</v>
      </c>
      <c r="C64" s="279" t="s">
        <v>105</v>
      </c>
      <c r="D64" s="279"/>
      <c r="E64" s="5" t="s">
        <v>1</v>
      </c>
      <c r="F64" s="5" t="s">
        <v>13</v>
      </c>
    </row>
    <row r="65" spans="2:6" s="96" customFormat="1" ht="15.95" customHeight="1" x14ac:dyDescent="0.15">
      <c r="B65" s="2" t="s">
        <v>2</v>
      </c>
      <c r="C65" s="277" t="s">
        <v>106</v>
      </c>
      <c r="D65" s="277"/>
      <c r="E65" s="62">
        <f>PERC_SUBSTITUTO_FERIAS</f>
        <v>8.33</v>
      </c>
      <c r="F65" s="61">
        <f>PERC_SUBSTITUTO_FERIAS%*(MOD_1_REMUNERACAO_12X36_DIU+MOD_2_ENCARGOS_BENEFICIOS_12X36_DIU+MOD_3_PROVISAO_RESCISAO_12X36_DIU)</f>
        <v>0</v>
      </c>
    </row>
    <row r="66" spans="2:6" s="96" customFormat="1" ht="15.95" customHeight="1" x14ac:dyDescent="0.15">
      <c r="B66" s="2" t="s">
        <v>3</v>
      </c>
      <c r="C66" s="276" t="s">
        <v>107</v>
      </c>
      <c r="D66" s="276"/>
      <c r="E66" s="49">
        <f>PERC_SUBSTITUTO_AUSENCIAS_LEGAIS</f>
        <v>2.2200000000000002</v>
      </c>
      <c r="F66" s="39">
        <f>PERC_SUBSTITUTO_AUSENCIAS_LEGAIS%*(MOD_1_REMUNERACAO_12X36_DIU+MOD_2_ENCARGOS_BENEFICIOS_12X36_DIU+MOD_3_PROVISAO_RESCISAO_12X36_DIU)</f>
        <v>0</v>
      </c>
    </row>
    <row r="67" spans="2:6" s="96" customFormat="1" ht="15.95" customHeight="1" x14ac:dyDescent="0.15">
      <c r="B67" s="2" t="s">
        <v>4</v>
      </c>
      <c r="C67" s="277" t="s">
        <v>108</v>
      </c>
      <c r="D67" s="277"/>
      <c r="E67" s="62">
        <f>PERC_SUBSTITUTO_LICENCA_PATERNIDADE</f>
        <v>7.0000000000000007E-2</v>
      </c>
      <c r="F67" s="61">
        <f>PERC_SUBSTITUTO_LICENCA_PATERNIDADE%*(MOD_1_REMUNERACAO_12X36_DIU+MOD_2_ENCARGOS_BENEFICIOS_12X36_DIU+MOD_3_PROVISAO_RESCISAO_12X36_DIU)</f>
        <v>0</v>
      </c>
    </row>
    <row r="68" spans="2:6" s="96" customFormat="1" x14ac:dyDescent="0.15">
      <c r="B68" s="2" t="s">
        <v>5</v>
      </c>
      <c r="C68" s="276" t="s">
        <v>109</v>
      </c>
      <c r="D68" s="276"/>
      <c r="E68" s="49">
        <f>PERC_SUBSTITUTO_ACID_TRAB</f>
        <v>0.02</v>
      </c>
      <c r="F68" s="39">
        <f>PERC_SUBSTITUTO_ACID_TRAB%*(MOD_1_REMUNERACAO_12X36_DIU+MOD_2_ENCARGOS_BENEFICIOS_12X36_DIU+MOD_3_PROVISAO_RESCISAO_12X36_DIU)</f>
        <v>0</v>
      </c>
    </row>
    <row r="69" spans="2:6" s="96" customFormat="1" x14ac:dyDescent="0.15">
      <c r="B69" s="2" t="s">
        <v>6</v>
      </c>
      <c r="C69" s="277" t="s">
        <v>110</v>
      </c>
      <c r="D69" s="277"/>
      <c r="E69" s="62">
        <f>PERC_SUBSTITUTO_AFAST_MATERN</f>
        <v>0.04</v>
      </c>
      <c r="F69" s="61">
        <f>PERC_SUBSTITUTO_AFAST_MATERN%*(MOD_1_REMUNERACAO_12X36_DIU+MOD_2_ENCARGOS_BENEFICIOS_12X36_DIU+MOD_3_PROVISAO_RESCISAO_12X36_DIU)</f>
        <v>0</v>
      </c>
    </row>
    <row r="70" spans="2:6" s="96" customFormat="1" x14ac:dyDescent="0.15">
      <c r="B70" s="2" t="s">
        <v>7</v>
      </c>
      <c r="C70" s="305" t="str">
        <f>OUTRAS_AUSENCIAS_DESCRICAO</f>
        <v>Outras Ausências (Especificar - em %)</v>
      </c>
      <c r="D70" s="276"/>
      <c r="E70" s="56">
        <f>PERC_SUBSTITUTO_OUTRAS_AUSENCIAS</f>
        <v>0</v>
      </c>
      <c r="F70" s="39">
        <f>PERC_SUBSTITUTO_OUTRAS_AUSENCIAS%*(MOD_1_REMUNERACAO_12X36_DIU+MOD_2_ENCARGOS_BENEFICIOS_12X36_DIU+MOD_3_PROVISAO_RESCISAO_12X36_DIU)</f>
        <v>0</v>
      </c>
    </row>
    <row r="71" spans="2:6" s="96" customFormat="1" x14ac:dyDescent="0.3">
      <c r="B71" s="220" t="s">
        <v>48</v>
      </c>
      <c r="C71" s="221"/>
      <c r="D71" s="221"/>
      <c r="E71" s="222"/>
      <c r="F71" s="44">
        <f>SUM(F65:F70)</f>
        <v>0</v>
      </c>
    </row>
    <row r="72" spans="2:6" s="96" customFormat="1" ht="15" customHeight="1" x14ac:dyDescent="0.3">
      <c r="B72" s="54" t="s">
        <v>238</v>
      </c>
      <c r="C72" s="16"/>
      <c r="D72" s="26"/>
      <c r="E72" s="24"/>
      <c r="F72" s="24"/>
    </row>
    <row r="73" spans="2:6" s="96" customFormat="1" x14ac:dyDescent="0.15">
      <c r="B73" s="1" t="s">
        <v>21</v>
      </c>
      <c r="C73" s="216" t="s">
        <v>237</v>
      </c>
      <c r="D73" s="216"/>
      <c r="E73" s="216"/>
      <c r="F73" s="5" t="s">
        <v>13</v>
      </c>
    </row>
    <row r="74" spans="2:6" s="96" customFormat="1" x14ac:dyDescent="0.15">
      <c r="B74" s="1" t="s">
        <v>2</v>
      </c>
      <c r="C74" s="277" t="s">
        <v>111</v>
      </c>
      <c r="D74" s="277"/>
      <c r="E74" s="277"/>
      <c r="F74" s="60">
        <f>((MOD_1_REMUNERACAO_12X36_DIU+MOD_2_ENCARGOS_BENEFICIOS_12X36_DIU+MOD_3_PROVISAO_RESCISAO_12X36_DIU)/DIVISOR_DE_HORAS)*((TEMPO_INTERVALO_REFEICAO/HORA_NORMAL)+PERC_HORA_EXTRA%)*DIAS_TRABALHADOS_NO_MES_12X36</f>
        <v>0</v>
      </c>
    </row>
    <row r="75" spans="2:6" s="96" customFormat="1" x14ac:dyDescent="0.3">
      <c r="B75" s="216" t="s">
        <v>48</v>
      </c>
      <c r="C75" s="216"/>
      <c r="D75" s="216"/>
      <c r="E75" s="216"/>
      <c r="F75" s="44">
        <f>SUM(F74)</f>
        <v>0</v>
      </c>
    </row>
    <row r="76" spans="2:6" ht="7.5" customHeight="1" x14ac:dyDescent="0.3">
      <c r="B76" s="20"/>
      <c r="C76" s="21"/>
      <c r="D76" s="22"/>
      <c r="E76" s="18"/>
      <c r="F76" s="18"/>
    </row>
    <row r="77" spans="2:6" x14ac:dyDescent="0.3">
      <c r="B77" s="54" t="s">
        <v>79</v>
      </c>
      <c r="C77" s="16"/>
      <c r="D77" s="16"/>
      <c r="E77" s="24"/>
      <c r="F77" s="24"/>
    </row>
    <row r="78" spans="2:6" ht="15.75" customHeight="1" x14ac:dyDescent="0.3">
      <c r="B78" s="52">
        <v>5</v>
      </c>
      <c r="C78" s="223" t="s">
        <v>0</v>
      </c>
      <c r="D78" s="223"/>
      <c r="E78" s="223"/>
      <c r="F78" s="53" t="s">
        <v>13</v>
      </c>
    </row>
    <row r="79" spans="2:6" x14ac:dyDescent="0.3">
      <c r="B79" s="47" t="s">
        <v>2</v>
      </c>
      <c r="C79" s="224" t="s">
        <v>16</v>
      </c>
      <c r="D79" s="224"/>
      <c r="E79" s="224"/>
      <c r="F79" s="63">
        <f>UNIFORMES</f>
        <v>0</v>
      </c>
    </row>
    <row r="80" spans="2:6" x14ac:dyDescent="0.3">
      <c r="B80" s="47" t="s">
        <v>3</v>
      </c>
      <c r="C80" s="225" t="s">
        <v>18</v>
      </c>
      <c r="D80" s="225"/>
      <c r="E80" s="225"/>
      <c r="F80" s="50">
        <f>MATERIAIS</f>
        <v>0</v>
      </c>
    </row>
    <row r="81" spans="2:8" x14ac:dyDescent="0.3">
      <c r="B81" s="47" t="s">
        <v>4</v>
      </c>
      <c r="C81" s="224" t="s">
        <v>17</v>
      </c>
      <c r="D81" s="224"/>
      <c r="E81" s="224"/>
      <c r="F81" s="63">
        <f>EQUIPAMENTOS_SUPERVISORES</f>
        <v>0</v>
      </c>
    </row>
    <row r="82" spans="2:8" x14ac:dyDescent="0.3">
      <c r="B82" s="47" t="s">
        <v>5</v>
      </c>
      <c r="C82" s="307" t="str">
        <f>OUTROS_INSUMOS_DESCRICAO</f>
        <v>Outros (Especificar)</v>
      </c>
      <c r="D82" s="225"/>
      <c r="E82" s="225"/>
      <c r="F82" s="50">
        <f>OUTROS_INSUMOS</f>
        <v>0</v>
      </c>
    </row>
    <row r="83" spans="2:8" x14ac:dyDescent="0.3">
      <c r="B83" s="308" t="s">
        <v>48</v>
      </c>
      <c r="C83" s="308"/>
      <c r="D83" s="308"/>
      <c r="E83" s="308"/>
      <c r="F83" s="46">
        <f>SUM(F79:F82)</f>
        <v>0</v>
      </c>
    </row>
    <row r="84" spans="2:8" ht="7.5" customHeight="1" x14ac:dyDescent="0.3">
      <c r="B84" s="20"/>
      <c r="C84" s="21"/>
      <c r="D84" s="22"/>
      <c r="E84" s="18"/>
      <c r="F84" s="18"/>
    </row>
    <row r="85" spans="2:8" ht="15" customHeight="1" x14ac:dyDescent="0.3">
      <c r="B85" s="264" t="s">
        <v>78</v>
      </c>
      <c r="C85" s="264"/>
      <c r="D85" s="264"/>
      <c r="E85" s="264"/>
      <c r="F85" s="264"/>
    </row>
    <row r="86" spans="2:8" x14ac:dyDescent="0.3">
      <c r="B86" s="1">
        <v>6</v>
      </c>
      <c r="C86" s="216" t="s">
        <v>22</v>
      </c>
      <c r="D86" s="216"/>
      <c r="E86" s="5" t="s">
        <v>1</v>
      </c>
      <c r="F86" s="5" t="s">
        <v>13</v>
      </c>
    </row>
    <row r="87" spans="2:8" x14ac:dyDescent="0.3">
      <c r="B87" s="1" t="s">
        <v>2</v>
      </c>
      <c r="C87" s="277" t="s">
        <v>80</v>
      </c>
      <c r="D87" s="277"/>
      <c r="E87" s="64">
        <f>PERC_CUSTOS_INDIRETOS</f>
        <v>0</v>
      </c>
      <c r="F87" s="61">
        <f>PERC_CUSTOS_INDIRETOS%*(MOD_1_REMUNERACAO_12X36_DIU+MOD_2_ENCARGOS_BENEFICIOS_12X36_DIU+MOD_3_PROVISAO_RESCISAO_12X36_DIU+MOD_4_CUSTO_REPOSICAO_12X36_DIU+MOD_5_INSUMOS_12X36_DIU)</f>
        <v>0</v>
      </c>
    </row>
    <row r="88" spans="2:8" ht="15.75" customHeight="1" x14ac:dyDescent="0.3">
      <c r="B88" s="2" t="s">
        <v>3</v>
      </c>
      <c r="C88" s="276" t="s">
        <v>34</v>
      </c>
      <c r="D88" s="276"/>
      <c r="E88" s="51">
        <f>PERC_LUCRO</f>
        <v>0</v>
      </c>
      <c r="F88" s="39">
        <f>PERC_LUCRO%*(MOD_1_REMUNERACAO_12X36_DIU+MOD_2_ENCARGOS_BENEFICIOS_12X36_DIU+MOD_3_PROVISAO_RESCISAO_12X36_DIU+MOD_4_CUSTO_REPOSICAO_12X36_DIU+MOD_5_INSUMOS_12X36_DIU+AL_6_A_CUSTOS_INDIRETOS_12X36_DIU)</f>
        <v>0</v>
      </c>
    </row>
    <row r="89" spans="2:8" x14ac:dyDescent="0.3">
      <c r="B89" s="2" t="s">
        <v>4</v>
      </c>
      <c r="C89" s="277" t="s">
        <v>23</v>
      </c>
      <c r="D89" s="277"/>
      <c r="E89" s="64">
        <f>SUM(E90:E92)</f>
        <v>0</v>
      </c>
      <c r="F89" s="61">
        <f>SUM(F90:F92)</f>
        <v>0</v>
      </c>
    </row>
    <row r="90" spans="2:8" ht="15.75" customHeight="1" x14ac:dyDescent="0.3">
      <c r="B90" s="34" t="s">
        <v>81</v>
      </c>
      <c r="C90" s="306" t="s">
        <v>25</v>
      </c>
      <c r="D90" s="306"/>
      <c r="E90" s="35">
        <f>PERC_PIS</f>
        <v>0</v>
      </c>
      <c r="F90" s="66">
        <f>((MOD_1_REMUNERACAO_12X36_DIU+MOD_2_ENCARGOS_BENEFICIOS_12X36_DIU+MOD_3_PROVISAO_RESCISAO_12X36_DIU+MOD_4_CUSTO_REPOSICAO_12X36_DIU+MOD_5_INSUMOS_12X36_DIU+AL_6_A_CUSTOS_INDIRETOS_12X36_DIU+AL_6_B_LUCRO_12X36_DIU)*PERC_PIS%)/(1-PERC_TRIBUTOS%)</f>
        <v>0</v>
      </c>
    </row>
    <row r="91" spans="2:8" x14ac:dyDescent="0.3">
      <c r="B91" s="34" t="s">
        <v>82</v>
      </c>
      <c r="C91" s="309" t="s">
        <v>26</v>
      </c>
      <c r="D91" s="309"/>
      <c r="E91" s="65">
        <f>PERC_COFINS</f>
        <v>0</v>
      </c>
      <c r="F91" s="67">
        <f>((MOD_1_REMUNERACAO_12X36_DIU+MOD_2_ENCARGOS_BENEFICIOS_12X36_DIU+MOD_3_PROVISAO_RESCISAO_12X36_DIU+MOD_4_CUSTO_REPOSICAO_12X36_DIU+MOD_5_INSUMOS_12X36_DIU+AL_6_A_CUSTOS_INDIRETOS_12X36_DIU+AL_6_B_LUCRO_12X36_DIU)*PERC_COFINS%)/(1-PERC_TRIBUTOS%)</f>
        <v>0</v>
      </c>
    </row>
    <row r="92" spans="2:8" s="106" customFormat="1" x14ac:dyDescent="0.3">
      <c r="B92" s="34" t="s">
        <v>83</v>
      </c>
      <c r="C92" s="306" t="s">
        <v>27</v>
      </c>
      <c r="D92" s="306"/>
      <c r="E92" s="35">
        <f>PERC_ISS</f>
        <v>0</v>
      </c>
      <c r="F92" s="66">
        <f>((MOD_1_REMUNERACAO_12X36_DIU+MOD_2_ENCARGOS_BENEFICIOS_12X36_DIU+MOD_3_PROVISAO_RESCISAO_12X36_DIU+MOD_4_CUSTO_REPOSICAO_12X36_DIU+MOD_5_INSUMOS_12X36_DIU+AL_6_A_CUSTOS_INDIRETOS_12X36_DIU+AL_6_B_LUCRO_12X36_DIU)*PERC_ISS%)/(1-PERC_TRIBUTOS%)</f>
        <v>0</v>
      </c>
      <c r="H92" s="17"/>
    </row>
    <row r="93" spans="2:8" s="106" customFormat="1" x14ac:dyDescent="0.3">
      <c r="B93" s="220" t="s">
        <v>48</v>
      </c>
      <c r="C93" s="221"/>
      <c r="D93" s="221"/>
      <c r="E93" s="222"/>
      <c r="F93" s="40">
        <f>AL_6_A_CUSTOS_INDIRETOS_12X36_DIU+AL_6_B_LUCRO_12X36_DIU+AL_6_C_TRIBUTOS_12X36_DIU</f>
        <v>0</v>
      </c>
    </row>
    <row r="94" spans="2:8" s="106" customFormat="1" ht="20.25" x14ac:dyDescent="0.3">
      <c r="B94" s="55" t="s">
        <v>55</v>
      </c>
      <c r="C94" s="19"/>
      <c r="D94" s="19"/>
      <c r="E94" s="19"/>
      <c r="F94" s="27"/>
    </row>
    <row r="95" spans="2:8" s="107" customFormat="1" ht="16.5" customHeight="1" x14ac:dyDescent="0.3">
      <c r="B95" s="2" t="s">
        <v>100</v>
      </c>
      <c r="C95" s="213" t="s">
        <v>101</v>
      </c>
      <c r="D95" s="214"/>
      <c r="E95" s="215"/>
      <c r="F95" s="5" t="s">
        <v>19</v>
      </c>
      <c r="H95" s="126"/>
    </row>
    <row r="96" spans="2:8" s="106" customFormat="1" x14ac:dyDescent="0.3">
      <c r="B96" s="1">
        <v>1</v>
      </c>
      <c r="C96" s="277" t="s">
        <v>9</v>
      </c>
      <c r="D96" s="277"/>
      <c r="E96" s="277"/>
      <c r="F96" s="61">
        <f>MOD_1_REMUNERACAO_12X36_DIU</f>
        <v>0</v>
      </c>
    </row>
    <row r="97" spans="2:8" s="108" customFormat="1" ht="16.5" customHeight="1" x14ac:dyDescent="0.3">
      <c r="B97" s="2">
        <v>2</v>
      </c>
      <c r="C97" s="276" t="s">
        <v>102</v>
      </c>
      <c r="D97" s="276"/>
      <c r="E97" s="276"/>
      <c r="F97" s="39">
        <f>MOD_2_ENCARGOS_BENEFICIOS_12X36_DIU</f>
        <v>0</v>
      </c>
    </row>
    <row r="98" spans="2:8" s="108" customFormat="1" x14ac:dyDescent="0.3">
      <c r="B98" s="2">
        <v>3</v>
      </c>
      <c r="C98" s="277" t="s">
        <v>50</v>
      </c>
      <c r="D98" s="277"/>
      <c r="E98" s="277"/>
      <c r="F98" s="61">
        <f>MOD_3_PROVISAO_RESCISAO_12X36_DIU</f>
        <v>0</v>
      </c>
    </row>
    <row r="99" spans="2:8" s="108" customFormat="1" x14ac:dyDescent="0.3">
      <c r="B99" s="2">
        <v>4</v>
      </c>
      <c r="C99" s="276" t="s">
        <v>53</v>
      </c>
      <c r="D99" s="276"/>
      <c r="E99" s="276"/>
      <c r="F99" s="39">
        <f>MOD_4_CUSTO_REPOSICAO_12X36_DIU</f>
        <v>0</v>
      </c>
    </row>
    <row r="100" spans="2:8" s="108" customFormat="1" x14ac:dyDescent="0.3">
      <c r="B100" s="2">
        <v>5</v>
      </c>
      <c r="C100" s="277" t="s">
        <v>0</v>
      </c>
      <c r="D100" s="277"/>
      <c r="E100" s="277"/>
      <c r="F100" s="61">
        <f>MOD_5_INSUMOS_12X36_DIU</f>
        <v>0</v>
      </c>
    </row>
    <row r="101" spans="2:8" s="108" customFormat="1" x14ac:dyDescent="0.3">
      <c r="B101" s="2">
        <v>6</v>
      </c>
      <c r="C101" s="276" t="s">
        <v>22</v>
      </c>
      <c r="D101" s="276"/>
      <c r="E101" s="276"/>
      <c r="F101" s="39">
        <f>MOD_6_CUSTOS_IND_LUCRO_TRIB_12X36_DIU</f>
        <v>0</v>
      </c>
    </row>
    <row r="102" spans="2:8" ht="16.5" customHeight="1" x14ac:dyDescent="0.3">
      <c r="B102" s="279" t="s">
        <v>103</v>
      </c>
      <c r="C102" s="279"/>
      <c r="D102" s="279"/>
      <c r="E102" s="279"/>
      <c r="F102" s="40">
        <f>SUM(F96:F101)</f>
        <v>0</v>
      </c>
      <c r="H102" s="127"/>
    </row>
    <row r="103" spans="2:8" ht="16.5" customHeight="1" x14ac:dyDescent="0.3">
      <c r="B103" s="279" t="s">
        <v>32</v>
      </c>
      <c r="C103" s="279"/>
      <c r="D103" s="279"/>
      <c r="E103" s="279"/>
      <c r="F103" s="40">
        <f>F102*EMPREG_POR_POSTO_12X36_DIU</f>
        <v>0</v>
      </c>
    </row>
  </sheetData>
  <customSheetViews>
    <customSheetView guid="{E22B0E03-E710-4313-B9E5-0BFE52A7E677}" showPageBreaks="1" view="pageLayout">
      <selection activeCell="C22" sqref="C22:E22"/>
      <pageMargins left="0.15748031496062992" right="0.23622047244094491" top="0.27559055118110237" bottom="0.15748031496062992" header="0.23622047244094491" footer="0.15748031496062992"/>
      <printOptions horizontalCentered="1"/>
      <pageSetup paperSize="9" firstPageNumber="0" orientation="portrait" verticalDpi="300" r:id="rId1"/>
      <headerFooter alignWithMargins="0"/>
    </customSheetView>
  </customSheetViews>
  <mergeCells count="90">
    <mergeCell ref="B102:E102"/>
    <mergeCell ref="B103:E103"/>
    <mergeCell ref="C97:E97"/>
    <mergeCell ref="C98:E98"/>
    <mergeCell ref="C99:E99"/>
    <mergeCell ref="C100:E100"/>
    <mergeCell ref="C101:E101"/>
    <mergeCell ref="C95:E95"/>
    <mergeCell ref="C96:E96"/>
    <mergeCell ref="B83:E83"/>
    <mergeCell ref="B85:F85"/>
    <mergeCell ref="C86:D86"/>
    <mergeCell ref="C87:D87"/>
    <mergeCell ref="C88:D88"/>
    <mergeCell ref="C89:D89"/>
    <mergeCell ref="B93:E93"/>
    <mergeCell ref="C90:D90"/>
    <mergeCell ref="C91:D91"/>
    <mergeCell ref="C92:D92"/>
    <mergeCell ref="C68:D68"/>
    <mergeCell ref="C69:D69"/>
    <mergeCell ref="C70:D70"/>
    <mergeCell ref="C73:E73"/>
    <mergeCell ref="C74:E74"/>
    <mergeCell ref="B75:E75"/>
    <mergeCell ref="C78:E78"/>
    <mergeCell ref="C79:E79"/>
    <mergeCell ref="C80:E80"/>
    <mergeCell ref="C81:E81"/>
    <mergeCell ref="C15:D15"/>
    <mergeCell ref="E15:F15"/>
    <mergeCell ref="B21:E21"/>
    <mergeCell ref="C82:E82"/>
    <mergeCell ref="B54:E54"/>
    <mergeCell ref="B60:E60"/>
    <mergeCell ref="B71:E71"/>
    <mergeCell ref="C64:D64"/>
    <mergeCell ref="C65:D65"/>
    <mergeCell ref="C66:D66"/>
    <mergeCell ref="C67:D67"/>
    <mergeCell ref="C59:D59"/>
    <mergeCell ref="C58:D58"/>
    <mergeCell ref="C56:D56"/>
    <mergeCell ref="C57:D57"/>
    <mergeCell ref="C51:E51"/>
    <mergeCell ref="B1:F1"/>
    <mergeCell ref="B2:D2"/>
    <mergeCell ref="C24:E24"/>
    <mergeCell ref="C25:E25"/>
    <mergeCell ref="B4:F4"/>
    <mergeCell ref="B5:C5"/>
    <mergeCell ref="D5:F5"/>
    <mergeCell ref="B6:C6"/>
    <mergeCell ref="D6:E6"/>
    <mergeCell ref="B7:F7"/>
    <mergeCell ref="C8:E8"/>
    <mergeCell ref="D16:F16"/>
    <mergeCell ref="D17:F17"/>
    <mergeCell ref="C18:E18"/>
    <mergeCell ref="B20:F20"/>
    <mergeCell ref="C23:E23"/>
    <mergeCell ref="B3:F3"/>
    <mergeCell ref="B36:F36"/>
    <mergeCell ref="C37:D37"/>
    <mergeCell ref="C38:D38"/>
    <mergeCell ref="C39:D39"/>
    <mergeCell ref="C26:E26"/>
    <mergeCell ref="C32:D32"/>
    <mergeCell ref="C33:D33"/>
    <mergeCell ref="C34:D34"/>
    <mergeCell ref="B35:E35"/>
    <mergeCell ref="C28:E28"/>
    <mergeCell ref="C27:E27"/>
    <mergeCell ref="D9:F9"/>
    <mergeCell ref="C10:E10"/>
    <mergeCell ref="C11:E11"/>
    <mergeCell ref="C12:E12"/>
    <mergeCell ref="B29:E29"/>
    <mergeCell ref="C52:E52"/>
    <mergeCell ref="C49:E49"/>
    <mergeCell ref="C50:E50"/>
    <mergeCell ref="C53:E53"/>
    <mergeCell ref="C40:D40"/>
    <mergeCell ref="C43:D43"/>
    <mergeCell ref="C44:D44"/>
    <mergeCell ref="C45:D45"/>
    <mergeCell ref="B46:E46"/>
    <mergeCell ref="C48:E48"/>
    <mergeCell ref="C41:D41"/>
    <mergeCell ref="C42:D42"/>
  </mergeCells>
  <phoneticPr fontId="18" type="noConversion"/>
  <printOptions horizontalCentered="1"/>
  <pageMargins left="0.15748031496062992" right="0.23622047244094491" top="0.24" bottom="0.15748031496062992" header="0.23622047244094491" footer="0.15748031496062992"/>
  <pageSetup paperSize="9" firstPageNumber="0" orientation="portrait" verticalDpi="300" r:id="rId2"/>
  <headerFooter alignWithMargins="0"/>
  <ignoredErrors>
    <ignoredError sqref="C1:F1 F18 B3:F4 B7:F8 B2:F2 B10:F11 B9:C9 B12:E12 C6:F6 C5:F5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13</vt:i4>
      </vt:variant>
      <vt:variant>
        <vt:lpstr>Intervalos Nomeados</vt:lpstr>
      </vt:variant>
      <vt:variant>
        <vt:i4>287</vt:i4>
      </vt:variant>
    </vt:vector>
  </HeadingPairs>
  <TitlesOfParts>
    <vt:vector size="300" baseType="lpstr">
      <vt:lpstr>INSERÇÃO-DE-DADOS</vt:lpstr>
      <vt:lpstr>UNIFORMES</vt:lpstr>
      <vt:lpstr>DADOS-ESTATISTICOS</vt:lpstr>
      <vt:lpstr>ENCARGOS-SOCIAIS-E-TRABALHISTAS</vt:lpstr>
      <vt:lpstr>VIGILANTE 12X36 DIU</vt:lpstr>
      <vt:lpstr>VIGILANTE 12x36 - NOT</vt:lpstr>
      <vt:lpstr>VIGILANTE 44 H Ñ LETAL</vt:lpstr>
      <vt:lpstr>VIGILANTE 44 H</vt:lpstr>
      <vt:lpstr>SUPERVISOR 12X36 DIU</vt:lpstr>
      <vt:lpstr>SUPERVISOR 12x36 - NOT</vt:lpstr>
      <vt:lpstr>SUPERVISOR 44 HORAS</vt:lpstr>
      <vt:lpstr>QUADRO-RESUMO</vt:lpstr>
      <vt:lpstr>LIMITES-SEGES</vt:lpstr>
      <vt:lpstr>ACORDO_COLETIVO</vt:lpstr>
      <vt:lpstr>'VIGILANTE 12X36 DIU'!AL_1_A_SAL_BASE_12X36_DIU</vt:lpstr>
      <vt:lpstr>AL_1_A_SAL_BASE_12X36_DIU</vt:lpstr>
      <vt:lpstr>'VIGILANTE 12x36 - NOT'!AL_1_A_SAL_BASE_12X36_NOT</vt:lpstr>
      <vt:lpstr>AL_1_A_SAL_BASE_12X36_NOT</vt:lpstr>
      <vt:lpstr>'VIGILANTE 44 H'!AL_1_A_SAL_BASE_44H</vt:lpstr>
      <vt:lpstr>'VIGILANTE 44 H Ñ LETAL'!AL_1_A_SAL_BASE_44H</vt:lpstr>
      <vt:lpstr>AL_1_A_SAL_BASE_44H</vt:lpstr>
      <vt:lpstr>'VIGILANTE 12X36 DIU'!AL_1_B_ADIC_PERIC_12X36_DIU</vt:lpstr>
      <vt:lpstr>AL_1_B_ADIC_PERIC_12X36_DIU</vt:lpstr>
      <vt:lpstr>'VIGILANTE 12x36 - NOT'!AL_1_B_ADIC_PERIC_12X36_NOT</vt:lpstr>
      <vt:lpstr>AL_1_B_ADIC_PERIC_12X36_NOT</vt:lpstr>
      <vt:lpstr>'VIGILANTE 44 H'!AL_1_B_ADIC_PERIC_44H</vt:lpstr>
      <vt:lpstr>'VIGILANTE 44 H Ñ LETAL'!AL_1_B_ADIC_PERIC_44H</vt:lpstr>
      <vt:lpstr>AL_1_B_ADIC_PERIC_44H</vt:lpstr>
      <vt:lpstr>'VIGILANTE 12x36 - NOT'!AL_1_C_ADIC_NOT_12X36_NOT</vt:lpstr>
      <vt:lpstr>AL_1_C_ADIC_NOT_12X36_NOT</vt:lpstr>
      <vt:lpstr>'VIGILANTE 12x36 - NOT'!AL_1_D_ADIC_NOT_RED_12X36_NOT</vt:lpstr>
      <vt:lpstr>AL_1_D_ADIC_NOT_RED_12X36_NOT</vt:lpstr>
      <vt:lpstr>'VIGILANTE 12X36 DIU'!AL_2_1_A_DEC_TERC_12X36_DIU</vt:lpstr>
      <vt:lpstr>AL_2_1_A_DEC_TERC_12X36_DIU</vt:lpstr>
      <vt:lpstr>'VIGILANTE 12x36 - NOT'!AL_2_1_A_DEC_TERC_12X36_NOT</vt:lpstr>
      <vt:lpstr>AL_2_1_A_DEC_TERC_12X36_NOT</vt:lpstr>
      <vt:lpstr>'VIGILANTE 12X36 DIU'!AL_2_1_B_ADIC_FERIAS_12X36_DIU</vt:lpstr>
      <vt:lpstr>AL_2_1_B_ADIC_FERIAS_12X36_DIU</vt:lpstr>
      <vt:lpstr>'VIGILANTE 12x36 - NOT'!AL_2_1_B_ADIC_FERIAS_12X36_NOT</vt:lpstr>
      <vt:lpstr>AL_2_1_B_ADIC_FERIAS_12X36_NOT</vt:lpstr>
      <vt:lpstr>'VIGILANTE 12X36 DIU'!AL_2_2_FGTS_12X36_DIU</vt:lpstr>
      <vt:lpstr>AL_2_2_FGTS_12X36_DIU</vt:lpstr>
      <vt:lpstr>'VIGILANTE 12x36 - NOT'!AL_2_2_FGTS_12X36_NOT</vt:lpstr>
      <vt:lpstr>AL_2_2_FGTS_12X36_NOT</vt:lpstr>
      <vt:lpstr>'VIGILANTE 44 H'!AL_2_2_FGTS_44H</vt:lpstr>
      <vt:lpstr>'VIGILANTE 44 H Ñ LETAL'!AL_2_2_FGTS_44H</vt:lpstr>
      <vt:lpstr>AL_2_2_FGTS_44H</vt:lpstr>
      <vt:lpstr>'VIGILANTE 12X36 DIU'!AL_2_3_A_TRANSP_12X36_DIU</vt:lpstr>
      <vt:lpstr>AL_2_3_A_TRANSP_12X36_DIU</vt:lpstr>
      <vt:lpstr>'VIGILANTE 12x36 - NOT'!AL_2_3_A_TRANSP_12X36_NOT</vt:lpstr>
      <vt:lpstr>AL_2_3_A_TRANSP_12X36_NOT</vt:lpstr>
      <vt:lpstr>'VIGILANTE 44 H'!AL_2_3_A_TRANSP_44H</vt:lpstr>
      <vt:lpstr>'VIGILANTE 44 H Ñ LETAL'!AL_2_3_A_TRANSP_44H</vt:lpstr>
      <vt:lpstr>AL_2_3_A_TRANSP_44H</vt:lpstr>
      <vt:lpstr>'VIGILANTE 12X36 DIU'!AL_2_3_B_AUX_ALIMENT_12X36_DIU</vt:lpstr>
      <vt:lpstr>AL_2_3_B_AUX_ALIMENT_12X36_DIU</vt:lpstr>
      <vt:lpstr>'VIGILANTE 12x36 - NOT'!AL_2_3_B_AUX_ALIMENT_12X36_NOT</vt:lpstr>
      <vt:lpstr>AL_2_3_B_AUX_ALIMENT_12X36_NOT</vt:lpstr>
      <vt:lpstr>'VIGILANTE 44 H'!AL_2_3_B_AUX_ALIMENT_44H</vt:lpstr>
      <vt:lpstr>'VIGILANTE 44 H Ñ LETAL'!AL_2_3_B_AUX_ALIMENT_44H</vt:lpstr>
      <vt:lpstr>AL_2_3_B_AUX_ALIMENT_44H</vt:lpstr>
      <vt:lpstr>'VIGILANTE 12X36 DIU'!AL_2_3_C_OUTROS_BENEF_12X36_DIU</vt:lpstr>
      <vt:lpstr>AL_2_3_C_OUTROS_BENEF_12X36_DIU</vt:lpstr>
      <vt:lpstr>'VIGILANTE 12x36 - NOT'!AL_2_A_ATE_2_G_GPS_12X36_NOT</vt:lpstr>
      <vt:lpstr>AL_2_A_ATE_2_G_GPS_12X36_NOT</vt:lpstr>
      <vt:lpstr>'VIGILANTE 12X36 DIU'!AL_6_A_CUSTOS_INDIRETOS_12X36_DIU</vt:lpstr>
      <vt:lpstr>AL_6_A_CUSTOS_INDIRETOS_12X36_DIU</vt:lpstr>
      <vt:lpstr>'VIGILANTE 12x36 - NOT'!AL_6_A_CUSTOS_INDIRETOS_12X36_NOT</vt:lpstr>
      <vt:lpstr>AL_6_A_CUSTOS_INDIRETOS_12X36_NOT</vt:lpstr>
      <vt:lpstr>'VIGILANTE 44 H'!AL_6_A_CUSTOS_INDIRETOS_44H</vt:lpstr>
      <vt:lpstr>'VIGILANTE 44 H Ñ LETAL'!AL_6_A_CUSTOS_INDIRETOS_44H</vt:lpstr>
      <vt:lpstr>AL_6_A_CUSTOS_INDIRETOS_44H</vt:lpstr>
      <vt:lpstr>'VIGILANTE 12X36 DIU'!AL_6_B_LUCRO_12X36_DIU</vt:lpstr>
      <vt:lpstr>AL_6_B_LUCRO_12X36_DIU</vt:lpstr>
      <vt:lpstr>'VIGILANTE 12x36 - NOT'!AL_6_B_LUCRO_12X36_NOT</vt:lpstr>
      <vt:lpstr>AL_6_B_LUCRO_12X36_NOT</vt:lpstr>
      <vt:lpstr>'VIGILANTE 44 H'!AL_6_B_LUCRO_44H</vt:lpstr>
      <vt:lpstr>'VIGILANTE 44 H Ñ LETAL'!AL_6_B_LUCRO_44H</vt:lpstr>
      <vt:lpstr>AL_6_B_LUCRO_44H</vt:lpstr>
      <vt:lpstr>'VIGILANTE 12X36 DIU'!AL_6_C_1_PIS_12X36_DIU</vt:lpstr>
      <vt:lpstr>AL_6_C_1_PIS_12X36_DIU</vt:lpstr>
      <vt:lpstr>'VIGILANTE 12x36 - NOT'!AL_6_C_1_PIS_12X36_NOT</vt:lpstr>
      <vt:lpstr>AL_6_C_1_PIS_12X36_NOT</vt:lpstr>
      <vt:lpstr>'VIGILANTE 44 H'!AL_6_C_1_PIS_44H</vt:lpstr>
      <vt:lpstr>'VIGILANTE 44 H Ñ LETAL'!AL_6_C_1_PIS_44H</vt:lpstr>
      <vt:lpstr>AL_6_C_1_PIS_44H</vt:lpstr>
      <vt:lpstr>'VIGILANTE 12X36 DIU'!AL_6_C_2_COFINS_12X36_DIU</vt:lpstr>
      <vt:lpstr>AL_6_C_2_COFINS_12X36_DIU</vt:lpstr>
      <vt:lpstr>'VIGILANTE 12x36 - NOT'!AL_6_C_2_COFINS_12X36_NOT</vt:lpstr>
      <vt:lpstr>AL_6_C_2_COFINS_12X36_NOT</vt:lpstr>
      <vt:lpstr>'VIGILANTE 44 H'!AL_6_C_2_COFINS_44H</vt:lpstr>
      <vt:lpstr>'VIGILANTE 44 H Ñ LETAL'!AL_6_C_2_COFINS_44H</vt:lpstr>
      <vt:lpstr>AL_6_C_2_COFINS_44H</vt:lpstr>
      <vt:lpstr>'VIGILANTE 12X36 DIU'!AL_6_C_3_ISS_12X36_DIU</vt:lpstr>
      <vt:lpstr>AL_6_C_3_ISS_12X36_DIU</vt:lpstr>
      <vt:lpstr>'VIGILANTE 12x36 - NOT'!AL_6_C_3_ISS_12X36_NOT</vt:lpstr>
      <vt:lpstr>AL_6_C_3_ISS_12X36_NOT</vt:lpstr>
      <vt:lpstr>'VIGILANTE 44 H'!AL_6_C_3_ISS_44H</vt:lpstr>
      <vt:lpstr>'VIGILANTE 44 H Ñ LETAL'!AL_6_C_3_ISS_44H</vt:lpstr>
      <vt:lpstr>AL_6_C_3_ISS_44H</vt:lpstr>
      <vt:lpstr>'VIGILANTE 12X36 DIU'!AL_6_C_TRIBUTOS_12X36_DIU</vt:lpstr>
      <vt:lpstr>AL_6_C_TRIBUTOS_12X36_DIU</vt:lpstr>
      <vt:lpstr>'VIGILANTE 12x36 - NOT'!AL_6_C_TRIBUTOS_12X36_NOT</vt:lpstr>
      <vt:lpstr>AL_6_C_TRIBUTOS_12X36_NOT</vt:lpstr>
      <vt:lpstr>'VIGILANTE 44 H'!AL_6_C_TRIBUTOS_44H</vt:lpstr>
      <vt:lpstr>'VIGILANTE 44 H Ñ LETAL'!AL_6_C_TRIBUTOS_44H</vt:lpstr>
      <vt:lpstr>AL_6_C_TRIBUTOS_44H</vt:lpstr>
      <vt:lpstr>ALIMENTACAO_POR_DIA</vt:lpstr>
      <vt:lpstr>ASSIST_ODONTO</vt:lpstr>
      <vt:lpstr>AUXILIO_SAUDE</vt:lpstr>
      <vt:lpstr>CATEGORIA_PROFISSIONAL</vt:lpstr>
      <vt:lpstr>CBO_SUPER</vt:lpstr>
      <vt:lpstr>CBO_VIGI</vt:lpstr>
      <vt:lpstr>DATA_APRESENTACAO_PROPOSTA</vt:lpstr>
      <vt:lpstr>DATA_BASE_CATEGORIA</vt:lpstr>
      <vt:lpstr>DATA_DO_ORCAMENTO_ESTIMATIVO</vt:lpstr>
      <vt:lpstr>DATA_LICITACAO</vt:lpstr>
      <vt:lpstr>DIAS_AUSENCIAS_LEGAIS</vt:lpstr>
      <vt:lpstr>DIAS_LICENCA_MATERNIDADE</vt:lpstr>
      <vt:lpstr>DIAS_LICENCA_PATERNIDADE</vt:lpstr>
      <vt:lpstr>DIAS_NA_SEMANA</vt:lpstr>
      <vt:lpstr>DIAS_NO_ANO</vt:lpstr>
      <vt:lpstr>DIAS_NO_MES</vt:lpstr>
      <vt:lpstr>DIAS_PAGOS_EMPRESA_ACID_TRAB</vt:lpstr>
      <vt:lpstr>DIAS_TRABALHADOS_NO_MES_12X36</vt:lpstr>
      <vt:lpstr>DIAS_UTEIS_TRABALHADOS_NO_MES_44HORAS</vt:lpstr>
      <vt:lpstr>DIVISOR_DE_HORAS</vt:lpstr>
      <vt:lpstr>'VIGILANTE 12X36 DIU'!EMPREG_POR_POSTO_12X36_DIU</vt:lpstr>
      <vt:lpstr>EMPREG_POR_POSTO_12X36_DIU</vt:lpstr>
      <vt:lpstr>'VIGILANTE 12x36 - NOT'!EMPREG_POR_POSTO_12X36_NOT</vt:lpstr>
      <vt:lpstr>EMPREG_POR_POSTO_12X36_NOT</vt:lpstr>
      <vt:lpstr>'VIGILANTE 44 H'!EMPREG_POR_POSTO_44H</vt:lpstr>
      <vt:lpstr>'VIGILANTE 44 H Ñ LETAL'!EMPREG_POR_POSTO_44H</vt:lpstr>
      <vt:lpstr>EMPREG_POR_POSTO_44H</vt:lpstr>
      <vt:lpstr>EQUIPAMENTOS_12X36DIU</vt:lpstr>
      <vt:lpstr>EQUIPAMENTOS_12X36NOT</vt:lpstr>
      <vt:lpstr>EQUIPAMENTOS_LETAL44H</vt:lpstr>
      <vt:lpstr>EQUIPAMENTOS_ÑLETAL44H</vt:lpstr>
      <vt:lpstr>EQUIPAMENTOS_SUPERVISORES</vt:lpstr>
      <vt:lpstr>HORA_NORMAL</vt:lpstr>
      <vt:lpstr>HORA_NOTURNA</vt:lpstr>
      <vt:lpstr>HORARIO_LICITACAO</vt:lpstr>
      <vt:lpstr>LOCAL_DE_EXECUCAO</vt:lpstr>
      <vt:lpstr>MATERIAIS</vt:lpstr>
      <vt:lpstr>MEDIA_ANUAL_DIAS_TRABALHO_MES</vt:lpstr>
      <vt:lpstr>MESES_NO_ANO</vt:lpstr>
      <vt:lpstr>'VIGILANTE 12X36 DIU'!MOD_1_REMUNERACAO_12X36_DIU</vt:lpstr>
      <vt:lpstr>MOD_1_REMUNERACAO_12X36_DIU</vt:lpstr>
      <vt:lpstr>'VIGILANTE 12x36 - NOT'!MOD_1_REMUNERACAO_12X36_NOT</vt:lpstr>
      <vt:lpstr>MOD_1_REMUNERACAO_12X36_NOT</vt:lpstr>
      <vt:lpstr>'VIGILANTE 44 H'!MOD_1_REMUNERACAO_44H</vt:lpstr>
      <vt:lpstr>'VIGILANTE 44 H Ñ LETAL'!MOD_1_REMUNERACAO_44H</vt:lpstr>
      <vt:lpstr>MOD_1_REMUNERACAO_44H</vt:lpstr>
      <vt:lpstr>'VIGILANTE 12X36 DIU'!MOD_3_PROVISAO_RESCISAO_12X36_DIU</vt:lpstr>
      <vt:lpstr>MOD_3_PROVISAO_RESCISAO_12X36_DIU</vt:lpstr>
      <vt:lpstr>'VIGILANTE 12x36 - NOT'!MOD_3_PROVISAO_RESCISAO_12X36_NOT</vt:lpstr>
      <vt:lpstr>MOD_3_PROVISAO_RESCISAO_12X36_NOT</vt:lpstr>
      <vt:lpstr>'VIGILANTE 44 H'!MOD_3_PROVISAO_RESCISAO_44H</vt:lpstr>
      <vt:lpstr>'VIGILANTE 44 H Ñ LETAL'!MOD_3_PROVISAO_RESCISAO_44H</vt:lpstr>
      <vt:lpstr>MOD_3_PROVISAO_RESCISAO_44H</vt:lpstr>
      <vt:lpstr>'VIGILANTE 12X36 DIU'!MOD_5_INSUMOS_12X36_DIU</vt:lpstr>
      <vt:lpstr>MOD_5_INSUMOS_12X36_DIU</vt:lpstr>
      <vt:lpstr>'VIGILANTE 12x36 - NOT'!MOD_5_INSUMOS_12X36_NOT</vt:lpstr>
      <vt:lpstr>MOD_5_INSUMOS_12X36_NOT</vt:lpstr>
      <vt:lpstr>'VIGILANTE 44 H'!MOD_5_INSUMOS_44H</vt:lpstr>
      <vt:lpstr>'VIGILANTE 44 H Ñ LETAL'!MOD_5_INSUMOS_44H</vt:lpstr>
      <vt:lpstr>MOD_5_INSUMOS_44H</vt:lpstr>
      <vt:lpstr>'VIGILANTE 12X36 DIU'!MOD_6_CUSTOS_IND_LUCRO_TRIB_12X36_DIU</vt:lpstr>
      <vt:lpstr>MOD_6_CUSTOS_IND_LUCRO_TRIB_12X36_DIU</vt:lpstr>
      <vt:lpstr>'VIGILANTE 12x36 - NOT'!MOD_6_CUSTOS_IND_LUCRO_TRIB_12X36_NOT</vt:lpstr>
      <vt:lpstr>MOD_6_CUSTOS_IND_LUCRO_TRIB_12X36_NOT</vt:lpstr>
      <vt:lpstr>'VIGILANTE 44 H'!MOD_6_CUSTOS_IND_LUCRO_TRIB_44H</vt:lpstr>
      <vt:lpstr>'VIGILANTE 44 H Ñ LETAL'!MOD_6_CUSTOS_IND_LUCRO_TRIB_44H</vt:lpstr>
      <vt:lpstr>MOD_6_CUSTOS_IND_LUCRO_TRIB_44H</vt:lpstr>
      <vt:lpstr>MODALIDADE_DE_LICITACAO</vt:lpstr>
      <vt:lpstr>NUMERO_MESES_EXEC_CONTRATUAL</vt:lpstr>
      <vt:lpstr>NUMERO_PREGAO</vt:lpstr>
      <vt:lpstr>NUMERO_PROCESSO</vt:lpstr>
      <vt:lpstr>OUTRAS_AUSENCIAS</vt:lpstr>
      <vt:lpstr>OUTRAS_AUSENCIAS_DESCRICAO</vt:lpstr>
      <vt:lpstr>OUTROS_BENEFICIOS_1</vt:lpstr>
      <vt:lpstr>OUTROS_BENEFICIOS_1_DESCRICAO</vt:lpstr>
      <vt:lpstr>OUTROS_BENEFICIOS_2</vt:lpstr>
      <vt:lpstr>OUTROS_BENEFICIOS_2_DESCRICAO</vt:lpstr>
      <vt:lpstr>OUTROS_BENEFICIOS_3</vt:lpstr>
      <vt:lpstr>OUTROS_BENEFICIOS_3_DESCRICAO</vt:lpstr>
      <vt:lpstr>OUTROS_INSUMOS</vt:lpstr>
      <vt:lpstr>OUTROS_INSUMOS_DESCRICAO</vt:lpstr>
      <vt:lpstr>OUTROS_REMUNERACAO_1</vt:lpstr>
      <vt:lpstr>OUTROS_REMUNERACAO_1_DESCRICAO</vt:lpstr>
      <vt:lpstr>OUTROS_REMUNERACAO_2</vt:lpstr>
      <vt:lpstr>OUTROS_REMUNERACAO_2_DESCRICAO</vt:lpstr>
      <vt:lpstr>OUTROS_REMUNERACAO_3</vt:lpstr>
      <vt:lpstr>OUTROS_REMUNERACAO_3_DESCRICAO</vt:lpstr>
      <vt:lpstr>PERC_ADIC_FERIAS</vt:lpstr>
      <vt:lpstr>PERC_ADIC_NOT</vt:lpstr>
      <vt:lpstr>PERC_ADIC_PERIC</vt:lpstr>
      <vt:lpstr>PERC_AVISO_PREVIO_IND</vt:lpstr>
      <vt:lpstr>PERC_AVISO_PREVIO_TRAB</vt:lpstr>
      <vt:lpstr>PERC_COFINS</vt:lpstr>
      <vt:lpstr>PERC_CUSTOS_INDIRETOS</vt:lpstr>
      <vt:lpstr>PERC_DEC_TERC</vt:lpstr>
      <vt:lpstr>PERC_DESC_TRANSP_REMUNERACAO</vt:lpstr>
      <vt:lpstr>PERC_EMPREG_AFAST_TRAB</vt:lpstr>
      <vt:lpstr>PERC_EMPREG_AVISO_PREVIO_IND</vt:lpstr>
      <vt:lpstr>PERC_EMPREG_AVISO_PREVIO_TRAB</vt:lpstr>
      <vt:lpstr>PERC_EMPREG_DEMIT_SEM_JUSTA_CAUSA_TOTAL_DESLIG</vt:lpstr>
      <vt:lpstr>PERC_FGTS</vt:lpstr>
      <vt:lpstr>PERC_GPS_FGTS</vt:lpstr>
      <vt:lpstr>PERC_HORA_EXTRA</vt:lpstr>
      <vt:lpstr>PERC_INCRA</vt:lpstr>
      <vt:lpstr>PERC_INSS</vt:lpstr>
      <vt:lpstr>PERC_ISS</vt:lpstr>
      <vt:lpstr>PERC_LUCRO</vt:lpstr>
      <vt:lpstr>'VIGILANTE 12x36 - NOT'!PERC_MOD_3_PROVISAO_RESCISAO</vt:lpstr>
      <vt:lpstr>PERC_MOD_3_PROVISAO_RESCISAO</vt:lpstr>
      <vt:lpstr>PERC_MULTA_FGTS</vt:lpstr>
      <vt:lpstr>PERC_MULTA_FGTS_AV_PREV_TRAB</vt:lpstr>
      <vt:lpstr>PERC_NASCIDOS_VIVOS_POPUL_FEM</vt:lpstr>
      <vt:lpstr>PERC_PARTIC_FEM_VIGIL</vt:lpstr>
      <vt:lpstr>PERC_PARTIC_MASC_VIGIL</vt:lpstr>
      <vt:lpstr>PERC_PIS</vt:lpstr>
      <vt:lpstr>PERC_RAT</vt:lpstr>
      <vt:lpstr>PERC_SAL_EDUCACAO</vt:lpstr>
      <vt:lpstr>PERC_SEBRAE</vt:lpstr>
      <vt:lpstr>PERC_SENAC</vt:lpstr>
      <vt:lpstr>PERC_SESC</vt:lpstr>
      <vt:lpstr>PERC_SUBSTITUTO_ACID_TRAB</vt:lpstr>
      <vt:lpstr>PERC_SUBSTITUTO_AFAST_MATERN</vt:lpstr>
      <vt:lpstr>PERC_SUBSTITUTO_AUSENCIAS_LEGAIS</vt:lpstr>
      <vt:lpstr>PERC_SUBSTITUTO_FERIAS</vt:lpstr>
      <vt:lpstr>PERC_SUBSTITUTO_LICENCA_PATERNIDADE</vt:lpstr>
      <vt:lpstr>PERC_SUBSTITUTO_OUTRAS_AUSENCIAS</vt:lpstr>
      <vt:lpstr>'VIGILANTE 12x36 - NOT'!PERC_TRIBUTOS</vt:lpstr>
      <vt:lpstr>PERC_TRIBUTOS</vt:lpstr>
      <vt:lpstr>POSTO_12X36_DIU</vt:lpstr>
      <vt:lpstr>POSTO_12X36_NOT</vt:lpstr>
      <vt:lpstr>POSTO_44H</vt:lpstr>
      <vt:lpstr>QTDD_FUNCIONARIOS</vt:lpstr>
      <vt:lpstr>QTDE_DE_POSTOS_12X36_SUP_DIU</vt:lpstr>
      <vt:lpstr>QTDE_DE_POSTOS_12X36_SUP_NOT</vt:lpstr>
      <vt:lpstr>QTDE_DE_POSTOS_12X36_VIG_DIU</vt:lpstr>
      <vt:lpstr>QTDE_DE_POSTOS_12X36_VIG_NOT</vt:lpstr>
      <vt:lpstr>QTDE_DE_POSTOS_SUP_DIU_44</vt:lpstr>
      <vt:lpstr>QTDE_DE_POSTOS_VIG_44</vt:lpstr>
      <vt:lpstr>QTDE_DE_POSTOS_VIG_44_ÑLETAL</vt:lpstr>
      <vt:lpstr>RAMO</vt:lpstr>
      <vt:lpstr>SALARIO_BASE_SUPER</vt:lpstr>
      <vt:lpstr>SALARIO_BASE_VIGI</vt:lpstr>
      <vt:lpstr>SEGURO_VIDA</vt:lpstr>
      <vt:lpstr>'VIGILANTE 12X36 DIU'!SUBMOD_2_1_DEC_TERC_ADIC_FERIAS_12X36_DIU</vt:lpstr>
      <vt:lpstr>SUBMOD_2_1_DEC_TERC_ADIC_FERIAS_12X36_DIU</vt:lpstr>
      <vt:lpstr>'VIGILANTE 12x36 - NOT'!SUBMOD_2_1_DEC_TERC_ADIC_FERIAS_12X36_NOT</vt:lpstr>
      <vt:lpstr>SUBMOD_2_1_DEC_TERC_ADIC_FERIAS_12X36_NOT</vt:lpstr>
      <vt:lpstr>'VIGILANTE 44 H'!SUBMOD_2_1_DEC_TERC_ADIC_FERIAS_44H</vt:lpstr>
      <vt:lpstr>'VIGILANTE 44 H Ñ LETAL'!SUBMOD_2_1_DEC_TERC_ADIC_FERIAS_44H</vt:lpstr>
      <vt:lpstr>SUBMOD_2_1_DEC_TERC_ADIC_FERIAS_44H</vt:lpstr>
      <vt:lpstr>'VIGILANTE 12X36 DIU'!SUBMOD_2_2_GPS_FGTS_12X36_DIU</vt:lpstr>
      <vt:lpstr>SUBMOD_2_2_GPS_FGTS_12X36_DIU</vt:lpstr>
      <vt:lpstr>'VIGILANTE 12x36 - NOT'!SUBMOD_2_2_GPS_FGTS_12X36_NOT</vt:lpstr>
      <vt:lpstr>SUBMOD_2_2_GPS_FGTS_12X36_NOT</vt:lpstr>
      <vt:lpstr>'VIGILANTE 44 H'!SUBMOD_2_2_GPS_FGTS_44H</vt:lpstr>
      <vt:lpstr>'VIGILANTE 44 H Ñ LETAL'!SUBMOD_2_2_GPS_FGTS_44H</vt:lpstr>
      <vt:lpstr>SUBMOD_2_2_GPS_FGTS_44H</vt:lpstr>
      <vt:lpstr>'VIGILANTE 12X36 DIU'!SUBMOD_2_3_BENEFICIOS_12X36_DIU</vt:lpstr>
      <vt:lpstr>SUBMOD_2_3_BENEFICIOS_12X36_DIU</vt:lpstr>
      <vt:lpstr>'VIGILANTE 12x36 - NOT'!SUBMOD_2_3_BENEFICIOS_12X36_NOT</vt:lpstr>
      <vt:lpstr>SUBMOD_2_3_BENEFICIOS_12X36_NOT</vt:lpstr>
      <vt:lpstr>'VIGILANTE 44 H'!SUBMOD_2_3_BENEFICIOS_44H</vt:lpstr>
      <vt:lpstr>'VIGILANTE 44 H Ñ LETAL'!SUBMOD_2_3_BENEFICIOS_44H</vt:lpstr>
      <vt:lpstr>SUBMOD_2_3_BENEFICIOS_44H</vt:lpstr>
      <vt:lpstr>'VIGILANTE 44 H'!SUBMOD_4_1_AUSENCIAS_LEGAIS_44H</vt:lpstr>
      <vt:lpstr>'VIGILANTE 44 H Ñ LETAL'!SUBMOD_4_1_AUSENCIAS_LEGAIS_44H</vt:lpstr>
      <vt:lpstr>SUBMOD_4_1_AUSENCIAS_LEGAIS_44H</vt:lpstr>
      <vt:lpstr>'VIGILANTE 12X36 DIU'!SUBMOD_4_1_SUBSTITUTO_12X36_DIU</vt:lpstr>
      <vt:lpstr>SUBMOD_4_1_SUBSTITUTO_12X36_DIU</vt:lpstr>
      <vt:lpstr>'VIGILANTE 12x36 - NOT'!SUBMOD_4_1_SUBSTITUTO_12X36_NOT</vt:lpstr>
      <vt:lpstr>SUBMOD_4_1_SUBSTITUTO_12X36_NOT</vt:lpstr>
      <vt:lpstr>'VIGILANTE 44 H'!SUBMOD_4_1_SUBSTITUTO_44H</vt:lpstr>
      <vt:lpstr>'VIGILANTE 44 H Ñ LETAL'!SUBMOD_4_1_SUBSTITUTO_44H</vt:lpstr>
      <vt:lpstr>SUBMOD_4_1_SUBSTITUTO_44H</vt:lpstr>
      <vt:lpstr>'VIGILANTE 12X36 DIU'!SUBMOD_4_2_INTRAJORNADA_12X36_DIU</vt:lpstr>
      <vt:lpstr>SUBMOD_4_2_INTRAJORNADA_12X36_DIU</vt:lpstr>
      <vt:lpstr>'VIGILANTE 12x36 - NOT'!SUBMOD_4_2_INTRAJORNADA_12X36_NOT</vt:lpstr>
      <vt:lpstr>SUBMOD_4_2_INTRAJORNADA_12X36_NOT</vt:lpstr>
      <vt:lpstr>'VIGILANTE 44 H'!SUBMOD_4_2_INTRAJORNADA_44H</vt:lpstr>
      <vt:lpstr>'VIGILANTE 44 H Ñ LETAL'!SUBMOD_4_2_INTRAJORNADA_44H</vt:lpstr>
      <vt:lpstr>SUBMOD_4_2_INTRAJORNADA_44H</vt:lpstr>
      <vt:lpstr>TEMPO_INTERVALO_REFEICAO</vt:lpstr>
      <vt:lpstr>TIPO_DE_SERVICO</vt:lpstr>
      <vt:lpstr>TRANSPORTE_POR_DIA</vt:lpstr>
      <vt:lpstr>UG</vt:lpstr>
      <vt:lpstr>UNIFORMES</vt:lpstr>
      <vt:lpstr>VALOR_UNIT_SUPER_12X36_DIU</vt:lpstr>
      <vt:lpstr>VALOR_UNIT_SUPER_12X36_NOT</vt:lpstr>
      <vt:lpstr>VALOR_UNIT_SUPER_44H</vt:lpstr>
      <vt:lpstr>VALOR_UNIT_VIG_12X36_DIU</vt:lpstr>
      <vt:lpstr>VALOR_UNIT_VIG_12X36_NOT</vt:lpstr>
      <vt:lpstr>VALOR_UNIT_VIG_44H</vt:lpstr>
      <vt:lpstr>VALOR_UNIT_VIG_44H_ÑLETAL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André Felipe Flores da Silva</dc:creator>
  <cp:lastModifiedBy>Tiago Borges</cp:lastModifiedBy>
  <cp:lastPrinted>2019-08-28T14:06:20Z</cp:lastPrinted>
  <dcterms:created xsi:type="dcterms:W3CDTF">2014-02-07T18:14:59Z</dcterms:created>
  <dcterms:modified xsi:type="dcterms:W3CDTF">2022-11-04T19:34:15Z</dcterms:modified>
</cp:coreProperties>
</file>