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d.docs.live.net/ac6f3a639072d9c5/TRABALHO/MODELOS ATUALIZADOS RUBENS/PRODUÇÃO DIÁRIA/15 SETEMBRO 2021/LICITAÇÃO/PREGÃO N. 070-2022/"/>
    </mc:Choice>
  </mc:AlternateContent>
  <xr:revisionPtr revIDLastSave="92" documentId="8_{D295CFCC-6768-4D1F-A762-9BDCF293509C}" xr6:coauthVersionLast="47" xr6:coauthVersionMax="47" xr10:uidLastSave="{56893108-4A72-46C8-ABB0-B1819AA3ECAB}"/>
  <bookViews>
    <workbookView xWindow="-120" yWindow="-120" windowWidth="20730" windowHeight="11160" tabRatio="899" xr2:uid="{00000000-000D-0000-FFFF-FFFF00000000}"/>
  </bookViews>
  <sheets>
    <sheet name="INSERÇÃO DE DADOS (POSTOS)" sheetId="11" r:id="rId1"/>
    <sheet name="INSERÇÃO DE DADOS (UNIFORMES)" sheetId="16" r:id="rId2"/>
    <sheet name="INSERÇÃO DE DADOS (BENEFÍCIOS)" sheetId="17" r:id="rId3"/>
    <sheet name="DADOS-ESTATISTICOS" sheetId="15" r:id="rId4"/>
    <sheet name="ENCARGOS-SOCIAIS-E-TRABALHISTAS" sheetId="12" r:id="rId5"/>
    <sheet name="OPERADOR DE MÍDIA (RESIDENTES)" sheetId="14" r:id="rId6"/>
    <sheet name="SERVIÇOS EVENTUAIS" sheetId="19" r:id="rId7"/>
    <sheet name="QUADRO RESUMO" sheetId="18" r:id="rId8"/>
  </sheets>
  <definedNames>
    <definedName name="ACORDO_COLETIVO">'INSERÇÃO DE DADOS (POSTOS)'!$F$14</definedName>
    <definedName name="AL_1_A_SAL_BASE" localSheetId="5">'OPERADOR DE MÍDIA (RESIDENTES)'!$F$22</definedName>
    <definedName name="AL_1_A_SAL_BASE" localSheetId="6">'SERVIÇOS EVENTUAIS'!$F$22</definedName>
    <definedName name="AL_1_B_ADIC_PERIC" localSheetId="5">'OPERADOR DE MÍDIA (RESIDENTES)'!#REF!</definedName>
    <definedName name="AL_1_B_ADIC_PERIC" localSheetId="6">'SERVIÇOS EVENTUAIS'!#REF!</definedName>
    <definedName name="AL_1_C_ADIC_NOT" localSheetId="5">'OPERADOR DE MÍDIA (RESIDENTES)'!#REF!</definedName>
    <definedName name="AL_1_C_ADIC_NOT" localSheetId="6">'SERVIÇOS EVENTUAIS'!#REF!</definedName>
    <definedName name="AL_1_D_ADIC_NOT_RED" localSheetId="5">'OPERADOR DE MÍDIA (RESIDENTES)'!#REF!</definedName>
    <definedName name="AL_1_D_ADIC_NOT_RED" localSheetId="6">'SERVIÇOS EVENTUAIS'!#REF!</definedName>
    <definedName name="AL_2_1_A_DEC_TERC" localSheetId="5">'OPERADOR DE MÍDIA (RESIDENTES)'!$F$28</definedName>
    <definedName name="AL_2_1_A_DEC_TERC" localSheetId="6">'SERVIÇOS EVENTUAIS'!$F$28</definedName>
    <definedName name="AL_2_1_B_ADIC_FERIAS" localSheetId="5">'OPERADOR DE MÍDIA (RESIDENTES)'!$F$29</definedName>
    <definedName name="AL_2_1_B_ADIC_FERIAS" localSheetId="6">'SERVIÇOS EVENTUAIS'!$F$29</definedName>
    <definedName name="AL_2_2_FGTS" localSheetId="5">'OPERADOR DE MÍDIA (RESIDENTES)'!$F$40</definedName>
    <definedName name="AL_2_2_FGTS" localSheetId="6">'SERVIÇOS EVENTUAIS'!$F$40</definedName>
    <definedName name="AL_2_3_A_TRANSP" localSheetId="5">'OPERADOR DE MÍDIA (RESIDENTES)'!$F$44</definedName>
    <definedName name="AL_2_3_A_TRANSP" localSheetId="6">'SERVIÇOS EVENTUAIS'!$F$44</definedName>
    <definedName name="AL_2_3_B_AUX_ALIMENT" localSheetId="5">'OPERADOR DE MÍDIA (RESIDENTES)'!$F$45</definedName>
    <definedName name="AL_2_3_B_AUX_ALIMENT" localSheetId="6">'SERVIÇOS EVENTUAIS'!$F$45</definedName>
    <definedName name="AL_2_3_C_OUTROS_BENEF" localSheetId="5">'OPERADOR DE MÍDIA (RESIDENTES)'!$F$46</definedName>
    <definedName name="AL_2_3_C_OUTROS_BENEF" localSheetId="6">'SERVIÇOS EVENTUAIS'!$F$46</definedName>
    <definedName name="AL_2_A_ATE_2_G_GPS" localSheetId="5">'OPERADOR DE MÍDIA (RESIDENTES)'!$F$33:$F$39</definedName>
    <definedName name="AL_2_A_ATE_2_G_GPS" localSheetId="6">'SERVIÇOS EVENTUAIS'!$F$33:$F$39</definedName>
    <definedName name="AL_6_A_CUSTOS_INDIRETOS" localSheetId="5">'OPERADOR DE MÍDIA (RESIDENTES)'!$F$74</definedName>
    <definedName name="AL_6_A_CUSTOS_INDIRETOS" localSheetId="6">'SERVIÇOS EVENTUAIS'!$F$74</definedName>
    <definedName name="AL_6_B_LUCRO" localSheetId="5">'OPERADOR DE MÍDIA (RESIDENTES)'!$F$75</definedName>
    <definedName name="AL_6_B_LUCRO" localSheetId="6">'SERVIÇOS EVENTUAIS'!$F$75</definedName>
    <definedName name="AL_6_C_1_PIS" localSheetId="5">'OPERADOR DE MÍDIA (RESIDENTES)'!$F$77</definedName>
    <definedName name="AL_6_C_1_PIS" localSheetId="6">'SERVIÇOS EVENTUAIS'!$F$77</definedName>
    <definedName name="AL_6_C_2_COFINS" localSheetId="5">'OPERADOR DE MÍDIA (RESIDENTES)'!$F$78</definedName>
    <definedName name="AL_6_C_2_COFINS" localSheetId="6">'SERVIÇOS EVENTUAIS'!$F$78</definedName>
    <definedName name="AL_6_C_3_ISS" localSheetId="5">'OPERADOR DE MÍDIA (RESIDENTES)'!$F$79</definedName>
    <definedName name="AL_6_C_3_ISS" localSheetId="6">'SERVIÇOS EVENTUAIS'!$F$79</definedName>
    <definedName name="AL_6_C_TRIBUTOS" localSheetId="5">'OPERADOR DE MÍDIA (RESIDENTES)'!$F$76</definedName>
    <definedName name="AL_6_C_TRIBUTOS" localSheetId="6">'SERVIÇOS EVENTUAIS'!$F$76</definedName>
    <definedName name="ALIMENTACAO_POR_DIA">'INSERÇÃO DE DADOS (POSTOS)'!$F$41</definedName>
    <definedName name="_xlnm.Print_Area" localSheetId="3">'DADOS-ESTATISTICOS'!$B$1:$F$38</definedName>
    <definedName name="_xlnm.Print_Area" localSheetId="4">'ENCARGOS-SOCIAIS-E-TRABALHISTAS'!$B$1:$F$34</definedName>
    <definedName name="_xlnm.Print_Area" localSheetId="2">'INSERÇÃO DE DADOS (BENEFÍCIOS)'!$B$1:$D$7</definedName>
    <definedName name="_xlnm.Print_Area" localSheetId="1">'INSERÇÃO DE DADOS (UNIFORMES)'!$B$1:$H$24</definedName>
    <definedName name="_xlnm.Print_Area" localSheetId="5">'OPERADOR DE MÍDIA (RESIDENTES)'!$B$1:$F$91</definedName>
    <definedName name="_xlnm.Print_Area" localSheetId="7">'QUADRO RESUMO'!$B$1:$G$31</definedName>
    <definedName name="_xlnm.Print_Area" localSheetId="6">'SERVIÇOS EVENTUAIS'!$B$1:$T$91</definedName>
    <definedName name="CATEGORIA_PROFISSIONAL">'INSERÇÃO DE DADOS (POSTOS)'!$D$23</definedName>
    <definedName name="CBO">'INSERÇÃO DE DADOS (POSTOS)'!$D$22</definedName>
    <definedName name="DATA_APRESENTACAO_PROPOSTA">'INSERÇÃO DE DADOS (POSTOS)'!$F$11</definedName>
    <definedName name="DATA_BASE_CATEGORIA">'INSERÇÃO DE DADOS (POSTOS)'!$F$24</definedName>
    <definedName name="DATA_DO_ORCAMENTO_ESTIMATIVO">'INSERÇÃO DE DADOS (POSTOS)'!$F$2</definedName>
    <definedName name="DATA_LICITACAO">'INSERÇÃO DE DADOS (POSTOS)'!$D$8</definedName>
    <definedName name="DIAS_AUSENCIAS_LEGAIS">'DADOS-ESTATISTICOS'!$F$27</definedName>
    <definedName name="DIAS_LICENCA_MATERNIDADE">'DADOS-ESTATISTICOS'!$F$33</definedName>
    <definedName name="DIAS_LICENCA_PATERNIDADE">'DADOS-ESTATISTICOS'!$F$28</definedName>
    <definedName name="DIAS_NA_SEMANA">'DADOS-ESTATISTICOS'!$F$5</definedName>
    <definedName name="DIAS_NO_ANO">'DADOS-ESTATISTICOS'!$F$6</definedName>
    <definedName name="DIAS_NO_MES">'DADOS-ESTATISTICOS'!$F$22</definedName>
    <definedName name="DIAS_PAGOS_EMPRESA_ACID_TRAB">'DADOS-ESTATISTICOS'!$F$32</definedName>
    <definedName name="DIAS_TRABALHADOS_NO_MES">'INSERÇÃO DE DADOS (POSTOS)'!$F$42</definedName>
    <definedName name="DIVISOR_DE_HORAS">'DADOS-ESTATISTICOS'!$F$4</definedName>
    <definedName name="EMPREG_POR_POSTO">'INSERÇÃO DE DADOS (POSTOS)'!$E$19</definedName>
    <definedName name="EQUIPAMENTOS">'INSERÇÃO DE DADOS (POSTOS)'!#REF!</definedName>
    <definedName name="HORA_NORMAL">'DADOS-ESTATISTICOS'!$F$9</definedName>
    <definedName name="HORA_NOTURNA">'DADOS-ESTATISTICOS'!$F$10</definedName>
    <definedName name="HORARIO_LICITACAO">'INSERÇÃO DE DADOS (POSTOS)'!$F$8</definedName>
    <definedName name="LOCAL_DE_EXECUCAO">'INSERÇÃO DE DADOS (POSTOS)'!$D$12</definedName>
    <definedName name="MATERIAIS">'INSERÇÃO DE DADOS (POSTOS)'!#REF!</definedName>
    <definedName name="MEDIA_ANUAL_DIAS_TRABALHO_MES">'DADOS-ESTATISTICOS'!$F$7</definedName>
    <definedName name="MESES_NO_ANO">'DADOS-ESTATISTICOS'!$F$8</definedName>
    <definedName name="MOD_1_REMUNERACAO" localSheetId="5">'OPERADOR DE MÍDIA (RESIDENTES)'!$F$24</definedName>
    <definedName name="MOD_1_REMUNERACAO" localSheetId="6">'SERVIÇOS EVENTUAIS'!$F$24</definedName>
    <definedName name="MOD_2_ENCARGOS_BENEFICIOS" localSheetId="5">'OPERADOR DE MÍDIA (RESIDENTES)'!$F$30+'OPERADOR DE MÍDIA (RESIDENTES)'!$F$41+'OPERADOR DE MÍDIA (RESIDENTES)'!$F$47</definedName>
    <definedName name="MOD_2_ENCARGOS_BENEFICIOS" localSheetId="6">'SERVIÇOS EVENTUAIS'!$F$30+'SERVIÇOS EVENTUAIS'!$F$41+'SERVIÇOS EVENTUAIS'!$F$47</definedName>
    <definedName name="MOD_3_PROVISAO_RESCISAO" localSheetId="5">'OPERADOR DE MÍDIA (RESIDENTES)'!$F$53</definedName>
    <definedName name="MOD_3_PROVISAO_RESCISAO" localSheetId="6">'SERVIÇOS EVENTUAIS'!$F$53</definedName>
    <definedName name="MOD_4_CUSTO_REPOSICAO" localSheetId="5">'OPERADOR DE MÍDIA (RESIDENTES)'!$F$64+'OPERADOR DE MÍDIA (RESIDENTES)'!#REF!</definedName>
    <definedName name="MOD_4_CUSTO_REPOSICAO" localSheetId="6">'SERVIÇOS EVENTUAIS'!$F$64+'SERVIÇOS EVENTUAIS'!#REF!</definedName>
    <definedName name="MOD_5_INSUMOS" localSheetId="5">'OPERADOR DE MÍDIA (RESIDENTES)'!$F$70</definedName>
    <definedName name="MOD_5_INSUMOS" localSheetId="6">'SERVIÇOS EVENTUAIS'!$F$70</definedName>
    <definedName name="MOD_6_CUSTOS_IND_LUCRO_TRIB" localSheetId="5">'OPERADOR DE MÍDIA (RESIDENTES)'!$F$80</definedName>
    <definedName name="MOD_6_CUSTOS_IND_LUCRO_TRIB" localSheetId="6">'SERVIÇOS EVENTUAIS'!$F$80</definedName>
    <definedName name="MODALIDADE_DE_LICITACAO">'INSERÇÃO DE DADOS (POSTOS)'!$D$7</definedName>
    <definedName name="NUMERO_MESES_EXEC_CONTRATUAL">'INSERÇÃO DE DADOS (POSTOS)'!$F$15</definedName>
    <definedName name="NUMERO_PREGAO">'INSERÇÃO DE DADOS (POSTOS)'!$F$7</definedName>
    <definedName name="NUMERO_PROCESSO">'INSERÇÃO DE DADOS (POSTOS)'!$D$6</definedName>
    <definedName name="OUTRAS_AUSENCIAS">'ENCARGOS-SOCIAIS-E-TRABALHISTAS'!$E$31</definedName>
    <definedName name="OUTRAS_AUSENCIAS_DESCRICAO">'INSERÇÃO DE DADOS (POSTOS)'!$C$48</definedName>
    <definedName name="OUTROS_BENEFICIOS_1">'INSERÇÃO DE DADOS (POSTOS)'!$F$43</definedName>
    <definedName name="OUTROS_BENEFICIOS_1_DESCRICAO">'INSERÇÃO DE DADOS (POSTOS)'!$C$43</definedName>
    <definedName name="OUTROS_BENEFICIOS_2">'INSERÇÃO DE DADOS (POSTOS)'!#REF!</definedName>
    <definedName name="OUTROS_BENEFICIOS_2_DESCRICAO">'INSERÇÃO DE DADOS (POSTOS)'!#REF!</definedName>
    <definedName name="OUTROS_BENEFICIOS_3">'INSERÇÃO DE DADOS (POSTOS)'!#REF!</definedName>
    <definedName name="OUTROS_BENEFICIOS_3_DESCRICAO">'INSERÇÃO DE DADOS (POSTOS)'!#REF!</definedName>
    <definedName name="OUTROS_INSUMOS">'INSERÇÃO DE DADOS (POSTOS)'!$F$54</definedName>
    <definedName name="OUTROS_INSUMOS_DESCRICAO">'INSERÇÃO DE DADOS (POSTOS)'!$C$54</definedName>
    <definedName name="OUTROS_REMUNERACAO_1">'INSERÇÃO DE DADOS (POSTOS)'!$F$31</definedName>
    <definedName name="OUTROS_REMUNERACAO_1_DESCRICAO">'INSERÇÃO DE DADOS (POSTOS)'!$C$31</definedName>
    <definedName name="OUTROS_REMUNERACAO_1_DIRETOR">'INSERÇÃO DE DADOS (POSTOS)'!$F$35</definedName>
    <definedName name="OUTROS_REMUNERACAO_1_EDITOR">'INSERÇÃO DE DADOS (POSTOS)'!$F$33</definedName>
    <definedName name="OUTROS_REMUNERACAO_2">'INSERÇÃO DE DADOS (POSTOS)'!#REF!</definedName>
    <definedName name="OUTROS_REMUNERACAO_2_DESCRICAO">'INSERÇÃO DE DADOS (POSTOS)'!#REF!</definedName>
    <definedName name="OUTROS_REMUNERACAO_3">'INSERÇÃO DE DADOS (POSTOS)'!#REF!</definedName>
    <definedName name="OUTROS_REMUNERACAO_3_DESCRICAO">'INSERÇÃO DE DADOS (POSTOS)'!#REF!</definedName>
    <definedName name="PERC_ADIC_FERIAS">'ENCARGOS-SOCIAIS-E-TRABALHISTAS'!$E$6</definedName>
    <definedName name="PERC_ADIC_INS">'INSERÇÃO DE DADOS (POSTOS)'!#REF!</definedName>
    <definedName name="PERC_ADIC_NOT">'INSERÇÃO DE DADOS (POSTOS)'!#REF!</definedName>
    <definedName name="PERC_ADIC_PERIC">'INSERÇÃO DE DADOS (POSTOS)'!#REF!</definedName>
    <definedName name="PERC_AVISO_PREVIO_IND">'ENCARGOS-SOCIAIS-E-TRABALHISTAS'!$E$20</definedName>
    <definedName name="PERC_AVISO_PREVIO_TRAB">'ENCARGOS-SOCIAIS-E-TRABALHISTAS'!$E$21</definedName>
    <definedName name="PERC_COFINS">'INSERÇÃO DE DADOS (POSTOS)'!$F$61</definedName>
    <definedName name="PERC_CONTRIB_SOCIAL">'DADOS-ESTATISTICOS'!#REF!</definedName>
    <definedName name="PERC_CUSTOS_INDIRETOS">'INSERÇÃO DE DADOS (POSTOS)'!$F$58</definedName>
    <definedName name="PERC_DEC_TERC">'ENCARGOS-SOCIAIS-E-TRABALHISTAS'!$E$5</definedName>
    <definedName name="PERC_DESC_TRANSP_REMUNERACAO">'DADOS-ESTATISTICOS'!$F$14</definedName>
    <definedName name="PERC_EMPREG_AFAST_TRAB">'DADOS-ESTATISTICOS'!$F$31</definedName>
    <definedName name="PERC_EMPREG_AVISO_PREVIO_IND">'DADOS-ESTATISTICOS'!$F$19</definedName>
    <definedName name="PERC_EMPREG_AVISO_PREVIO_TRAB">'DADOS-ESTATISTICOS'!$F$21</definedName>
    <definedName name="PERC_EMPREG_DEMIT_SEM_JUSTA_CAUSA_TOTAL_DESLIG">'DADOS-ESTATISTICOS'!$F$18</definedName>
    <definedName name="PERC_FGTS">'ENCARGOS-SOCIAIS-E-TRABALHISTAS'!$E$16</definedName>
    <definedName name="PERC_FGTS_AVISO_PREV_IND">'ENCARGOS-SOCIAIS-E-TRABALHISTAS'!#REF!</definedName>
    <definedName name="PERC_GPS_FGTS">'ENCARGOS-SOCIAIS-E-TRABALHISTAS'!$E$17</definedName>
    <definedName name="PERC_GPS_FGTS_AVISO_PREVIO_TRAB">'ENCARGOS-SOCIAIS-E-TRABALHISTAS'!#REF!</definedName>
    <definedName name="PERC_HORA_EXTRA">'INSERÇÃO DE DADOS (POSTOS)'!#REF!</definedName>
    <definedName name="PERC_INCRA">'ENCARGOS-SOCIAIS-E-TRABALHISTAS'!$E$15</definedName>
    <definedName name="PERC_INSS">'ENCARGOS-SOCIAIS-E-TRABALHISTAS'!$E$9</definedName>
    <definedName name="PERC_ISS">'INSERÇÃO DE DADOS (POSTOS)'!$F$62</definedName>
    <definedName name="PERC_LUCRO">'INSERÇÃO DE DADOS (POSTOS)'!$F$59</definedName>
    <definedName name="PERC_MOD_3_PROVISAO_RESCISAO" localSheetId="5">'OPERADOR DE MÍDIA (RESIDENTES)'!$E$53</definedName>
    <definedName name="PERC_MOD_3_PROVISAO_RESCISAO" localSheetId="6">'SERVIÇOS EVENTUAIS'!$E$53</definedName>
    <definedName name="PERC_MULTA_FGTS">'DADOS-ESTATISTICOS'!$F$20</definedName>
    <definedName name="PERC_MULTA_FGTS_AV_PREV_IND">'ENCARGOS-SOCIAIS-E-TRABALHISTAS'!#REF!</definedName>
    <definedName name="PERC_MULTA_FGTS_AV_PREV_TRAB">'ENCARGOS-SOCIAIS-E-TRABALHISTAS'!$E$22</definedName>
    <definedName name="PERC_NASCIDOS_VIVOS_POPUL_FEM">'DADOS-ESTATISTICOS'!$F$29</definedName>
    <definedName name="PERC_PARTIC_FEM_VIGIL">'DADOS-ESTATISTICOS'!$F$34</definedName>
    <definedName name="PERC_PARTIC_MASC_VIGIL">'DADOS-ESTATISTICOS'!$F$30</definedName>
    <definedName name="PERC_PIS">'INSERÇÃO DE DADOS (POSTOS)'!$F$60</definedName>
    <definedName name="PERC_RAT">'ENCARGOS-SOCIAIS-E-TRABALHISTAS'!$E$11</definedName>
    <definedName name="PERC_SAL_EDUCACAO">'ENCARGOS-SOCIAIS-E-TRABALHISTAS'!$E$10</definedName>
    <definedName name="PERC_SEBRAE">'ENCARGOS-SOCIAIS-E-TRABALHISTAS'!$E$14</definedName>
    <definedName name="PERC_SENAC">'ENCARGOS-SOCIAIS-E-TRABALHISTAS'!$E$13</definedName>
    <definedName name="PERC_SESC">'ENCARGOS-SOCIAIS-E-TRABALHISTAS'!$E$12</definedName>
    <definedName name="PERC_SUBSTITUTO_ACID_TRAB">'ENCARGOS-SOCIAIS-E-TRABALHISTAS'!$E$29</definedName>
    <definedName name="PERC_SUBSTITUTO_AFAST_MATERN">'ENCARGOS-SOCIAIS-E-TRABALHISTAS'!$E$30</definedName>
    <definedName name="PERC_SUBSTITUTO_AUSENCIAS_LEGAIS">'ENCARGOS-SOCIAIS-E-TRABALHISTAS'!$E$27</definedName>
    <definedName name="PERC_SUBSTITUTO_FERIAS">'ENCARGOS-SOCIAIS-E-TRABALHISTAS'!$E$26</definedName>
    <definedName name="PERC_SUBSTITUTO_LICENCA_PATERNIDADE">'ENCARGOS-SOCIAIS-E-TRABALHISTAS'!$E$28</definedName>
    <definedName name="PERC_SUBSTITUTO_OUTRAS_AUSENCIAS">'INSERÇÃO DE DADOS (POSTOS)'!$F$48</definedName>
    <definedName name="PERC_TRIBUTOS" localSheetId="5">'OPERADOR DE MÍDIA (RESIDENTES)'!$E$76</definedName>
    <definedName name="PERC_TRIBUTOS" localSheetId="6">'SERVIÇOS EVENTUAIS'!$E$76</definedName>
    <definedName name="QTDE_POSTOS" localSheetId="5">'INSERÇÃO DE DADOS (POSTOS)'!$F$19</definedName>
    <definedName name="QTDE_POSTOS" localSheetId="6">'INSERÇÃO DE DADOS (POSTOS)'!$F$19</definedName>
    <definedName name="RAMO">'INSERÇÃO DE DADOS (POSTOS)'!$B$1</definedName>
    <definedName name="SAL_MINIMO">'INSERÇÃO DE DADOS (POSTOS)'!$F$25</definedName>
    <definedName name="SALARIO_BASE">'INSERÇÃO DE DADOS (POSTOS)'!$F$30</definedName>
    <definedName name="SALARIO_BASE_DIRETOR">'INSERÇÃO DE DADOS (POSTOS)'!$F$34</definedName>
    <definedName name="SALARIO_BASE_EDITOR">'INSERÇÃO DE DADOS (POSTOS)'!$F$32</definedName>
    <definedName name="SUBMOD_2_1_DEC_TERC_ADIC_FERIAS" localSheetId="5">'OPERADOR DE MÍDIA (RESIDENTES)'!$F$30</definedName>
    <definedName name="SUBMOD_2_1_DEC_TERC_ADIC_FERIAS" localSheetId="6">'SERVIÇOS EVENTUAIS'!$F$30</definedName>
    <definedName name="SUBMOD_2_2_GPS_FGTS" localSheetId="5">'OPERADOR DE MÍDIA (RESIDENTES)'!$F$41</definedName>
    <definedName name="SUBMOD_2_2_GPS_FGTS" localSheetId="6">'SERVIÇOS EVENTUAIS'!$F$41</definedName>
    <definedName name="SUBMOD_2_3_BENEFICIOS" localSheetId="5">'OPERADOR DE MÍDIA (RESIDENTES)'!$F$47</definedName>
    <definedName name="SUBMOD_2_3_BENEFICIOS" localSheetId="6">'SERVIÇOS EVENTUAIS'!$F$47</definedName>
    <definedName name="SUBMOD_4_1_SUBSTITUTO" localSheetId="5">'OPERADOR DE MÍDIA (RESIDENTES)'!$F$64</definedName>
    <definedName name="SUBMOD_4_1_SUBSTITUTO" localSheetId="6">'SERVIÇOS EVENTUAIS'!$F$64</definedName>
    <definedName name="SUBMOD_4_2_INTRAJORNADA" localSheetId="5">'OPERADOR DE MÍDIA (RESIDENTES)'!#REF!</definedName>
    <definedName name="SUBMOD_4_2_INTRAJORNADA" localSheetId="6">'SERVIÇOS EVENTUAIS'!#REF!</definedName>
    <definedName name="TEMPO_INTERVALO_REFEICAO">'INSERÇÃO DE DADOS (POSTOS)'!#REF!</definedName>
    <definedName name="TIPO_DE_SERVICO">'INSERÇÃO DE DADOS (POSTOS)'!$C$19</definedName>
    <definedName name="TRANSPORTE_POR_DIA">'INSERÇÃO DE DADOS (POSTOS)'!$F$40</definedName>
    <definedName name="UG">'INSERÇÃO DE DADOS (POSTOS)'!$B$2</definedName>
    <definedName name="UNIFORMES">'INSERÇÃO DE DADOS (POSTOS)'!$F$53</definedName>
    <definedName name="VALOR_TOTAL_EMPREGADO" localSheetId="5">'OPERADOR DE MÍDIA (RESIDENTES)'!$F$89</definedName>
    <definedName name="VALOR_TOTAL_EMPREGADO" localSheetId="6">'SERVIÇOS EVENTUAIS'!$F$89</definedName>
    <definedName name="VALOR_TOTAL_POSTO" localSheetId="5">'OPERADOR DE MÍDIA (RESIDENTES)'!$F$90</definedName>
    <definedName name="VALOR_TOTAL_POSTO" localSheetId="6">'SERVIÇOS EVENTUAIS'!$F$90</definedName>
  </definedNames>
  <calcPr calcId="191028" fullPrecision="0"/>
  <customWorkbookViews>
    <customWorkbookView name="teste" guid="{E22B0E03-E710-4313-B9E5-0BFE52A7E677}" maximized="1" xWindow="-8" yWindow="-8" windowWidth="1936" windowHeight="1056" tabRatio="899"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9" l="1"/>
  <c r="T46" i="19"/>
  <c r="M46" i="19"/>
  <c r="M44" i="19"/>
  <c r="T23" i="19"/>
  <c r="M23" i="19"/>
  <c r="T22" i="19"/>
  <c r="M22" i="19"/>
  <c r="S79" i="19"/>
  <c r="S78" i="19"/>
  <c r="S77" i="19"/>
  <c r="S75" i="19"/>
  <c r="S74" i="19"/>
  <c r="T69" i="19"/>
  <c r="Q69" i="19"/>
  <c r="S63" i="19"/>
  <c r="Q63" i="19"/>
  <c r="Q46" i="19"/>
  <c r="T45" i="19"/>
  <c r="S40" i="19"/>
  <c r="S39" i="19"/>
  <c r="S38" i="19"/>
  <c r="S37" i="19"/>
  <c r="S36" i="19"/>
  <c r="S35" i="19"/>
  <c r="S34" i="19"/>
  <c r="S33" i="19"/>
  <c r="Q23" i="19"/>
  <c r="T19" i="19"/>
  <c r="T17" i="19"/>
  <c r="R16" i="19"/>
  <c r="R15" i="19"/>
  <c r="T11" i="19"/>
  <c r="T10" i="19"/>
  <c r="R9" i="19"/>
  <c r="T8" i="19"/>
  <c r="T6" i="19"/>
  <c r="R6" i="19"/>
  <c r="R5" i="19"/>
  <c r="T2" i="19"/>
  <c r="P2" i="19"/>
  <c r="P1" i="19"/>
  <c r="L79" i="19"/>
  <c r="L78" i="19"/>
  <c r="L77" i="19"/>
  <c r="L75" i="19"/>
  <c r="L74" i="19"/>
  <c r="M69" i="19"/>
  <c r="J69" i="19"/>
  <c r="L63" i="19"/>
  <c r="J63" i="19"/>
  <c r="J46" i="19"/>
  <c r="M45" i="19"/>
  <c r="L40" i="19"/>
  <c r="L39" i="19"/>
  <c r="L38" i="19"/>
  <c r="L37" i="19"/>
  <c r="L36" i="19"/>
  <c r="L35" i="19"/>
  <c r="L34" i="19"/>
  <c r="L33" i="19"/>
  <c r="J23" i="19"/>
  <c r="M19" i="19"/>
  <c r="M17" i="19"/>
  <c r="K16" i="19"/>
  <c r="K15" i="19"/>
  <c r="M11" i="19"/>
  <c r="M10" i="19"/>
  <c r="K9" i="19"/>
  <c r="M8" i="19"/>
  <c r="M6" i="19"/>
  <c r="K6" i="19"/>
  <c r="K5" i="19"/>
  <c r="M2" i="19"/>
  <c r="I2" i="19"/>
  <c r="I1" i="19"/>
  <c r="E79" i="19"/>
  <c r="E78" i="19"/>
  <c r="E77" i="19"/>
  <c r="E75" i="19"/>
  <c r="E74" i="19"/>
  <c r="F69" i="19"/>
  <c r="C69" i="19"/>
  <c r="E63" i="19"/>
  <c r="C63" i="19"/>
  <c r="F46" i="19"/>
  <c r="C46" i="19"/>
  <c r="F45" i="19"/>
  <c r="E40" i="19"/>
  <c r="E39" i="19"/>
  <c r="E38" i="19"/>
  <c r="E37" i="19"/>
  <c r="E36" i="19"/>
  <c r="E35" i="19"/>
  <c r="E34" i="19"/>
  <c r="E33" i="19"/>
  <c r="F23" i="19"/>
  <c r="C23" i="19"/>
  <c r="F22" i="19"/>
  <c r="F44" i="19" s="1"/>
  <c r="F19" i="19"/>
  <c r="F17" i="19"/>
  <c r="D16" i="19"/>
  <c r="D15" i="19"/>
  <c r="F11" i="19"/>
  <c r="F10" i="19"/>
  <c r="D9" i="19"/>
  <c r="F8" i="19"/>
  <c r="F6" i="19"/>
  <c r="D6" i="19"/>
  <c r="D5" i="19"/>
  <c r="F2" i="19"/>
  <c r="B2" i="19"/>
  <c r="B1" i="19"/>
  <c r="E28" i="18"/>
  <c r="E27" i="18"/>
  <c r="E26" i="18"/>
  <c r="B28" i="18"/>
  <c r="B27" i="18"/>
  <c r="B26" i="18"/>
  <c r="D9" i="18"/>
  <c r="D28" i="18" s="1"/>
  <c r="B9" i="18"/>
  <c r="G5" i="16"/>
  <c r="H5" i="16" s="1"/>
  <c r="T24" i="19" l="1"/>
  <c r="T44" i="19"/>
  <c r="T47" i="19" s="1"/>
  <c r="S76" i="19"/>
  <c r="D26" i="18"/>
  <c r="D27" i="18"/>
  <c r="M47" i="19"/>
  <c r="L76" i="19"/>
  <c r="F47" i="19"/>
  <c r="E76" i="19"/>
  <c r="G22" i="16"/>
  <c r="H22" i="16" s="1"/>
  <c r="G21" i="16"/>
  <c r="H21" i="16" s="1"/>
  <c r="G20" i="16"/>
  <c r="H20" i="16" s="1"/>
  <c r="G19" i="16"/>
  <c r="H19" i="16" s="1"/>
  <c r="G18" i="16"/>
  <c r="H18" i="16" s="1"/>
  <c r="F27" i="18"/>
  <c r="G10" i="16"/>
  <c r="H10" i="16" s="1"/>
  <c r="G9" i="16"/>
  <c r="H9" i="16" s="1"/>
  <c r="G8" i="16"/>
  <c r="H8" i="16" s="1"/>
  <c r="G7" i="16"/>
  <c r="H7" i="16" s="1"/>
  <c r="G6" i="16"/>
  <c r="H6" i="16" s="1"/>
  <c r="T83" i="19" l="1"/>
  <c r="T28" i="19"/>
  <c r="T29" i="19"/>
  <c r="M24" i="19"/>
  <c r="H23" i="16"/>
  <c r="H11" i="16"/>
  <c r="F24" i="19"/>
  <c r="F26" i="18"/>
  <c r="F28" i="18"/>
  <c r="H24" i="16" l="1"/>
  <c r="F53" i="11" s="1"/>
  <c r="M68" i="19" s="1"/>
  <c r="M70" i="19" s="1"/>
  <c r="M87" i="19" s="1"/>
  <c r="T30" i="19"/>
  <c r="T37" i="19" s="1"/>
  <c r="M83" i="19"/>
  <c r="M28" i="19"/>
  <c r="M29" i="19"/>
  <c r="F83" i="19"/>
  <c r="F29" i="18"/>
  <c r="T68" i="19" l="1"/>
  <c r="T70" i="19" s="1"/>
  <c r="T87" i="19" s="1"/>
  <c r="F68" i="19"/>
  <c r="F70" i="19" s="1"/>
  <c r="F87" i="19" s="1"/>
  <c r="T40" i="19"/>
  <c r="T50" i="19" s="1"/>
  <c r="T36" i="19"/>
  <c r="T52" i="19"/>
  <c r="T34" i="19"/>
  <c r="T39" i="19"/>
  <c r="T38" i="19"/>
  <c r="T33" i="19"/>
  <c r="T35" i="19"/>
  <c r="M30" i="19"/>
  <c r="M35" i="19" s="1"/>
  <c r="M37" i="19"/>
  <c r="M40" i="19"/>
  <c r="M34" i="19"/>
  <c r="M39" i="19"/>
  <c r="M52" i="19"/>
  <c r="M33" i="19"/>
  <c r="F12" i="14"/>
  <c r="F31" i="15"/>
  <c r="F19" i="14"/>
  <c r="D16" i="14"/>
  <c r="D15" i="14"/>
  <c r="D9" i="14"/>
  <c r="F2" i="14"/>
  <c r="E31" i="12"/>
  <c r="C31" i="12"/>
  <c r="E79" i="14"/>
  <c r="E78" i="14"/>
  <c r="E77" i="14"/>
  <c r="E75" i="14"/>
  <c r="E74" i="14"/>
  <c r="F69" i="14"/>
  <c r="C69" i="14"/>
  <c r="F68" i="14"/>
  <c r="E63" i="14"/>
  <c r="C63" i="14"/>
  <c r="F46" i="14"/>
  <c r="C46" i="14"/>
  <c r="F45" i="14"/>
  <c r="E39" i="14"/>
  <c r="E38" i="14"/>
  <c r="E37" i="14"/>
  <c r="E36" i="14"/>
  <c r="E35" i="14"/>
  <c r="E34" i="14"/>
  <c r="E33" i="14"/>
  <c r="F23" i="14"/>
  <c r="C23" i="14"/>
  <c r="F22" i="14"/>
  <c r="F44" i="14" s="1"/>
  <c r="F17" i="14"/>
  <c r="F11" i="14"/>
  <c r="F10" i="14"/>
  <c r="F8" i="14"/>
  <c r="F6" i="14"/>
  <c r="D6" i="14"/>
  <c r="D5" i="14"/>
  <c r="B2" i="14"/>
  <c r="B1" i="14"/>
  <c r="E5" i="12"/>
  <c r="E6" i="12"/>
  <c r="E20" i="12"/>
  <c r="E21" i="12"/>
  <c r="E26" i="12"/>
  <c r="E27" i="12"/>
  <c r="E28" i="12"/>
  <c r="E29" i="12"/>
  <c r="E60" i="11"/>
  <c r="E61" i="11"/>
  <c r="E62" i="11"/>
  <c r="E61" i="14"/>
  <c r="E51" i="14"/>
  <c r="E59" i="14"/>
  <c r="E50" i="14"/>
  <c r="E60" i="14"/>
  <c r="E40" i="14"/>
  <c r="E17" i="12"/>
  <c r="E30" i="12"/>
  <c r="T41" i="19" l="1"/>
  <c r="T84" i="19" s="1"/>
  <c r="M36" i="19"/>
  <c r="M38" i="19"/>
  <c r="M41" i="19" s="1"/>
  <c r="M50" i="19"/>
  <c r="T51" i="19"/>
  <c r="T53" i="19" s="1"/>
  <c r="T85" i="19" s="1"/>
  <c r="L62" i="19"/>
  <c r="S62" i="19"/>
  <c r="S60" i="19"/>
  <c r="L60" i="19"/>
  <c r="S59" i="19"/>
  <c r="L59" i="19"/>
  <c r="S29" i="19"/>
  <c r="L29" i="19"/>
  <c r="E62" i="14"/>
  <c r="S50" i="19"/>
  <c r="L50" i="19"/>
  <c r="L58" i="19"/>
  <c r="S58" i="19"/>
  <c r="E28" i="14"/>
  <c r="L28" i="19"/>
  <c r="S28" i="19"/>
  <c r="L61" i="19"/>
  <c r="S61" i="19"/>
  <c r="S51" i="19"/>
  <c r="L51" i="19"/>
  <c r="F47" i="14"/>
  <c r="F70" i="14"/>
  <c r="F87" i="14" s="1"/>
  <c r="E76" i="14"/>
  <c r="E62" i="19"/>
  <c r="E58" i="19"/>
  <c r="E61" i="19"/>
  <c r="E51" i="19"/>
  <c r="E22" i="12"/>
  <c r="E59" i="19"/>
  <c r="F29" i="19"/>
  <c r="E29" i="19"/>
  <c r="E29" i="14"/>
  <c r="F28" i="19"/>
  <c r="E28" i="19"/>
  <c r="E58" i="14"/>
  <c r="E60" i="19"/>
  <c r="E50" i="19"/>
  <c r="T58" i="19" l="1"/>
  <c r="T63" i="19"/>
  <c r="T62" i="19"/>
  <c r="T59" i="19"/>
  <c r="T61" i="19"/>
  <c r="T60" i="19"/>
  <c r="M84" i="19"/>
  <c r="M51" i="19"/>
  <c r="M53" i="19" s="1"/>
  <c r="L52" i="19"/>
  <c r="S52" i="19"/>
  <c r="F24" i="14"/>
  <c r="F30" i="19"/>
  <c r="E52" i="19"/>
  <c r="E52" i="14"/>
  <c r="F38" i="19" l="1"/>
  <c r="F29" i="14"/>
  <c r="F28" i="14"/>
  <c r="T64" i="19"/>
  <c r="T86" i="19" s="1"/>
  <c r="M85" i="19"/>
  <c r="M60" i="19"/>
  <c r="M63" i="19"/>
  <c r="M62" i="19"/>
  <c r="M61" i="19"/>
  <c r="M58" i="19"/>
  <c r="M59" i="19"/>
  <c r="F36" i="19"/>
  <c r="F37" i="19"/>
  <c r="F33" i="19"/>
  <c r="F83" i="14"/>
  <c r="F40" i="19"/>
  <c r="F50" i="19" s="1"/>
  <c r="F35" i="19"/>
  <c r="F34" i="19"/>
  <c r="F52" i="19"/>
  <c r="F39" i="19"/>
  <c r="F30" i="14" l="1"/>
  <c r="F37" i="14" s="1"/>
  <c r="T74" i="19"/>
  <c r="T75" i="19" s="1"/>
  <c r="F41" i="19"/>
  <c r="F51" i="19" s="1"/>
  <c r="F52" i="14" l="1"/>
  <c r="F33" i="14"/>
  <c r="F35" i="14"/>
  <c r="F39" i="14"/>
  <c r="F40" i="14"/>
  <c r="F50" i="14" s="1"/>
  <c r="F34" i="14"/>
  <c r="F38" i="14"/>
  <c r="F36" i="14"/>
  <c r="T78" i="19"/>
  <c r="T79" i="19"/>
  <c r="T77" i="19"/>
  <c r="F84" i="19"/>
  <c r="F53" i="19"/>
  <c r="F41" i="14" l="1"/>
  <c r="F51" i="14" s="1"/>
  <c r="F53" i="14" s="1"/>
  <c r="F58" i="14" s="1"/>
  <c r="F85" i="19"/>
  <c r="F58" i="19"/>
  <c r="F59" i="19"/>
  <c r="F62" i="19"/>
  <c r="F63" i="19"/>
  <c r="F60" i="19"/>
  <c r="F61" i="19"/>
  <c r="F84" i="14" l="1"/>
  <c r="F62" i="14"/>
  <c r="M64" i="19"/>
  <c r="F59" i="14"/>
  <c r="F63" i="14"/>
  <c r="F64" i="19"/>
  <c r="F61" i="14"/>
  <c r="F60" i="14"/>
  <c r="F85" i="14"/>
  <c r="M86" i="19" l="1"/>
  <c r="M74" i="19"/>
  <c r="M75" i="19" s="1"/>
  <c r="F86" i="19"/>
  <c r="F74" i="19"/>
  <c r="F64" i="14"/>
  <c r="M77" i="19" l="1"/>
  <c r="M78" i="19"/>
  <c r="M79" i="19"/>
  <c r="F75" i="19"/>
  <c r="F86" i="14"/>
  <c r="F74" i="14"/>
  <c r="F75" i="14" s="1"/>
  <c r="F78" i="14" s="1"/>
  <c r="F79" i="14" l="1"/>
  <c r="F77" i="14"/>
  <c r="F77" i="19"/>
  <c r="F78" i="19"/>
  <c r="F79" i="19"/>
  <c r="F76" i="14" l="1"/>
  <c r="F80" i="14" s="1"/>
  <c r="F88" i="14" s="1"/>
  <c r="F89" i="14" s="1"/>
  <c r="F91" i="14" s="1"/>
  <c r="M76" i="19"/>
  <c r="M80" i="19" s="1"/>
  <c r="M88" i="19" s="1"/>
  <c r="M89" i="19" s="1"/>
  <c r="T76" i="19"/>
  <c r="F76" i="19"/>
  <c r="F80" i="19" s="1"/>
  <c r="T80" i="19" l="1"/>
  <c r="T88" i="19" s="1"/>
  <c r="T89" i="19" s="1"/>
  <c r="M91" i="19"/>
  <c r="M90" i="19"/>
  <c r="F90" i="14"/>
  <c r="E9" i="18" s="1"/>
  <c r="F9" i="18" s="1"/>
  <c r="F10" i="18" s="1"/>
  <c r="T90" i="19" l="1"/>
  <c r="T91" i="19"/>
  <c r="F88" i="19"/>
  <c r="F89" i="19" s="1"/>
  <c r="F91" i="19" l="1"/>
  <c r="F90" i="19"/>
  <c r="E20" i="18" l="1"/>
  <c r="F20" i="18" s="1"/>
  <c r="E19" i="18"/>
  <c r="F19" i="18" s="1"/>
  <c r="E16" i="18"/>
  <c r="F16" i="18" s="1"/>
  <c r="E15" i="18"/>
  <c r="F15" i="18" s="1"/>
  <c r="E18" i="18"/>
  <c r="F18" i="18" s="1"/>
  <c r="E17" i="18"/>
  <c r="F17" i="18" s="1"/>
  <c r="F21" i="18" l="1"/>
  <c r="F30" i="18" l="1"/>
  <c r="F31" i="18" s="1"/>
</calcChain>
</file>

<file path=xl/sharedStrings.xml><?xml version="1.0" encoding="utf-8"?>
<sst xmlns="http://schemas.openxmlformats.org/spreadsheetml/2006/main" count="897" uniqueCount="235">
  <si>
    <t>Insumos Diversos</t>
  </si>
  <si>
    <t>%</t>
  </si>
  <si>
    <t>A</t>
  </si>
  <si>
    <t>B</t>
  </si>
  <si>
    <t>C</t>
  </si>
  <si>
    <t>D</t>
  </si>
  <si>
    <t>E</t>
  </si>
  <si>
    <t>F</t>
  </si>
  <si>
    <t>MÓDULO 1: COMPOSIÇÃO DA REMUNERAÇÃO</t>
  </si>
  <si>
    <t>Composição da Remuneração</t>
  </si>
  <si>
    <t>G</t>
  </si>
  <si>
    <t>H</t>
  </si>
  <si>
    <t>I</t>
  </si>
  <si>
    <t>Valor (R$)</t>
  </si>
  <si>
    <t>Benefícios Mensais e Diários</t>
  </si>
  <si>
    <t>Transporte</t>
  </si>
  <si>
    <t>Uniformes</t>
  </si>
  <si>
    <t>Valor    (R$)</t>
  </si>
  <si>
    <t>4.1</t>
  </si>
  <si>
    <t>Custos Indiretos, Tributos e Lucro</t>
  </si>
  <si>
    <t>Tributos</t>
  </si>
  <si>
    <t>PIS</t>
  </si>
  <si>
    <t>Cofins</t>
  </si>
  <si>
    <t>ISS</t>
  </si>
  <si>
    <t>Tipo de Serviço</t>
  </si>
  <si>
    <t>VALOR TOTAL POR POSTO</t>
  </si>
  <si>
    <t>Lucro</t>
  </si>
  <si>
    <t>Nº do Processo (X.XX.XXX.XXXXXX/XXXX-XX)</t>
  </si>
  <si>
    <t>Modalidade de Licitação nº (XX/AAAA)</t>
  </si>
  <si>
    <t>Pregão nº</t>
  </si>
  <si>
    <t>Local de Execução (Sede, Anexo I ou II, PTM, PRM)</t>
  </si>
  <si>
    <t>Acordo, Conv. ou Sentença Normativa em Dissídio Coletivo (MM/AAAA)</t>
  </si>
  <si>
    <t>Frequência</t>
  </si>
  <si>
    <t>Diária</t>
  </si>
  <si>
    <t>PLANILHA DE CUSTOS E FORMAÇÃO DE PREÇOS</t>
  </si>
  <si>
    <t>INSS</t>
  </si>
  <si>
    <t>INCRA</t>
  </si>
  <si>
    <t>Salário Educação</t>
  </si>
  <si>
    <t>FGTS</t>
  </si>
  <si>
    <t>SEBRAE</t>
  </si>
  <si>
    <t>TOTAL</t>
  </si>
  <si>
    <t>13º Salário</t>
  </si>
  <si>
    <t>Provisão para Rescisão</t>
  </si>
  <si>
    <t>Aviso Prévio Indenizado</t>
  </si>
  <si>
    <t>Aviso Prévio Trabalhado</t>
  </si>
  <si>
    <t>Custo de Reposição do Profissional Ausente</t>
  </si>
  <si>
    <t>EMPREGADOS POR POSTO</t>
  </si>
  <si>
    <t>QUADRO RESUMO - CUSTO POR EMPREGADO</t>
  </si>
  <si>
    <t>DATA:</t>
  </si>
  <si>
    <t>DISCRIMINAÇÃO DOS SERVIÇOS (DADOS REFERENTES À CONTRATAÇÃO)</t>
  </si>
  <si>
    <t>Classificação Brasileira de Ocupações (CBO)</t>
  </si>
  <si>
    <t>Tipo de Serviço (mesmo serviço com características distintas)</t>
  </si>
  <si>
    <t>Categoria Profissional (vinculada à execução contratual)</t>
  </si>
  <si>
    <t>Data-Base da Categoria (DD/MM/AAAA)</t>
  </si>
  <si>
    <t>Data de Apresentação da Proposta (DD/MM/AAAA)</t>
  </si>
  <si>
    <t>Número de Meses de Execução Contratual</t>
  </si>
  <si>
    <t>MÓDULO 2: ENCARGOS E BENEFÍCIOS ANUAIS, MENSAIS E DIÁRIOS</t>
  </si>
  <si>
    <t>2.1</t>
  </si>
  <si>
    <t>Submódulo 2.2 - Encargos Previdencários (GPS), Fundo de Garantia por Tempo de Serviço (FGTS) e Outras Contribuições</t>
  </si>
  <si>
    <t>2.2</t>
  </si>
  <si>
    <t>Auxílio-Refeição/Alimentação</t>
  </si>
  <si>
    <t>Submódulo 2.3 - Benefícios Mensais e Diários</t>
  </si>
  <si>
    <t>MÓDULO 3: PROVISÃO PARA RESCISÃO</t>
  </si>
  <si>
    <t>MÓDULO 4: CUSTO DE REPOSIÇÃO DO PROFISSIONAL AUSENTE</t>
  </si>
  <si>
    <t>MÓDULO 6: CUSTOS INDIRETOS, TRIBUTOS E LUCRO</t>
  </si>
  <si>
    <t>MÓDULO 5: INSUMOS DIVERSOS</t>
  </si>
  <si>
    <t>Custos Indiretos</t>
  </si>
  <si>
    <t>C.1</t>
  </si>
  <si>
    <t>C.2</t>
  </si>
  <si>
    <t>C.3</t>
  </si>
  <si>
    <t>Quantidade de Postos</t>
  </si>
  <si>
    <t>Outros (Especificar)</t>
  </si>
  <si>
    <t>SESC</t>
  </si>
  <si>
    <t>SENAC</t>
  </si>
  <si>
    <t>Riscos Ambientas do Trabalho</t>
  </si>
  <si>
    <t>2.3</t>
  </si>
  <si>
    <t>Salário-Base (em R$)</t>
  </si>
  <si>
    <t>Salário-Base</t>
  </si>
  <si>
    <t>13º Salário e Adicional de Férias</t>
  </si>
  <si>
    <t>Adicional de Férias</t>
  </si>
  <si>
    <t>Encargos Previdenciários (GPS), Fundo de Garantia por Tempo de Serviço (FGTS) e outras contribuições</t>
  </si>
  <si>
    <t>Dados referentes à licitação</t>
  </si>
  <si>
    <t>MÓD.</t>
  </si>
  <si>
    <t>Mão-de-obra vinculada à execução contratual (valor por empregado)</t>
  </si>
  <si>
    <t>Encargos e Benefícios Anuais, Mensais e Diários</t>
  </si>
  <si>
    <t>VALOR TOTAL DO EMPREGADO</t>
  </si>
  <si>
    <t>Submódulo 4.1 - Substituto nas Ausências Legais</t>
  </si>
  <si>
    <t>Substituto nas Ausências Legais</t>
  </si>
  <si>
    <t xml:space="preserve">Substituto na Cobertura de Férias </t>
  </si>
  <si>
    <t>Substituto na Cobertura de Ausências Legais</t>
  </si>
  <si>
    <t>Substituto na Cobertura de Licença-Paternidade</t>
  </si>
  <si>
    <t>Substituto na Cobertura de Ausência por Acidente de Trabalho</t>
  </si>
  <si>
    <t>Substituto na Cobertura de Afastamento Maternidade</t>
  </si>
  <si>
    <t>Submódulo 2.1 - 13º (décimo terceiro) Salário e Adicional de Férias</t>
  </si>
  <si>
    <t>Dados referentes à contratação</t>
  </si>
  <si>
    <t>Data / Horário</t>
  </si>
  <si>
    <t>Unidade de Medida</t>
  </si>
  <si>
    <t>Qtde Total a Contratar</t>
  </si>
  <si>
    <t>Mão de obra</t>
  </si>
  <si>
    <t>Dias no Ano</t>
  </si>
  <si>
    <t>Dias na Semana</t>
  </si>
  <si>
    <t>Hora Normal (em minutos)</t>
  </si>
  <si>
    <t>Hora Noturna (em minutos)</t>
  </si>
  <si>
    <t>Valor / %</t>
  </si>
  <si>
    <t>Valor (em R$)</t>
  </si>
  <si>
    <t>J</t>
  </si>
  <si>
    <t>Divisor de Horas (em horas)</t>
  </si>
  <si>
    <t xml:space="preserve">Meses no Ano </t>
  </si>
  <si>
    <t>Empregados que recebem aviso prévio indenizado (em %)</t>
  </si>
  <si>
    <t>Multa do FGTS (em %)</t>
  </si>
  <si>
    <t>Empregados que recebem aviso prévio trabalhado (em %)</t>
  </si>
  <si>
    <t>K</t>
  </si>
  <si>
    <t>L</t>
  </si>
  <si>
    <t>Dias de Ausências Legais</t>
  </si>
  <si>
    <t>Dias de Licença-Paternidade</t>
  </si>
  <si>
    <t>Nascidos Vivos / População Feminina (em %)</t>
  </si>
  <si>
    <t>Empregados afastados por acidente de trabalho (em %)</t>
  </si>
  <si>
    <t>Dias de Licença-Maternidade</t>
  </si>
  <si>
    <t>Pessoas demitidas sem justa causa / Total de desligamentos (em %)</t>
  </si>
  <si>
    <t>Salário Mínimo vigente no país (em R$)</t>
  </si>
  <si>
    <t>Dias no mês</t>
  </si>
  <si>
    <t>Dias pagos pela empresa em acidentes de trabalho</t>
  </si>
  <si>
    <t>Mensal</t>
  </si>
  <si>
    <t>Média Anual de Dias Trabalhados no Mês</t>
  </si>
  <si>
    <t>Desconto Remuneração Transporte</t>
  </si>
  <si>
    <t>Unidade da Federação</t>
  </si>
  <si>
    <t>Item</t>
  </si>
  <si>
    <t>RAMO:</t>
  </si>
  <si>
    <t>UNIDADE GESTORA (SIGLA):</t>
  </si>
  <si>
    <t>XX/XX/20XX</t>
  </si>
  <si>
    <t>XX/20XX</t>
  </si>
  <si>
    <t>HH:MM</t>
  </si>
  <si>
    <t>X.XX.XXX.XXXXXX/20XX-XX</t>
  </si>
  <si>
    <t>Outras Ausências (Especificar - em %)</t>
  </si>
  <si>
    <t>OBSERVAÇÃO</t>
  </si>
  <si>
    <t>CUSTOS POR EMPREGADO</t>
  </si>
  <si>
    <t>Dias Trabalhados no mês (15 dias intercalados ou 22 dias úteis)</t>
  </si>
  <si>
    <t>VALOR TOTAL DA CATEGORIA</t>
  </si>
  <si>
    <t>CUSTOS REFERENTES AO POSTO</t>
  </si>
  <si>
    <t>CUSTOS REFERENTES AOS SERVIÇOS CONTRATADOS</t>
  </si>
  <si>
    <t>Empregados por Posto</t>
  </si>
  <si>
    <t>DADOS ESTATÍSTICOS</t>
  </si>
  <si>
    <t>ENCARGOS SOCIAIS E TRABALHISTAS</t>
  </si>
  <si>
    <t>Memória de Cálculo</t>
  </si>
  <si>
    <t>(1/12) x 100</t>
  </si>
  <si>
    <t>[(1/3)/12] x 100</t>
  </si>
  <si>
    <t>[(62,93%) x 5,55% x (1/12)] x 100</t>
  </si>
  <si>
    <t xml:space="preserve">(1/12) x 100 </t>
  </si>
  <si>
    <t>[(8/30)/12] x 100</t>
  </si>
  <si>
    <t>[(15/30)/12] x 0,44%} x 100</t>
  </si>
  <si>
    <t>[(62,93%) x 94,45% x (7/30)/12] x 100</t>
  </si>
  <si>
    <t>Participação Masculina(em %)</t>
  </si>
  <si>
    <t>Participação Feminina (em %)</t>
  </si>
  <si>
    <t>{[(20/30)/12] x 1,416% x 45,22%} x 100</t>
  </si>
  <si>
    <t>{[(180/30)/12] x 1,416% x 54,78% x 36,80%} x 100</t>
  </si>
  <si>
    <t>Para mais informações, consulte o Referencial Técnico de Custos, constante da aba PUBLICAÇÕES, na página da Auditoria Interna do MPU na internet (www.auditoria.mpu.mp.br).</t>
  </si>
  <si>
    <t>Nº do Processo</t>
  </si>
  <si>
    <t>Modalidade de Licitação</t>
  </si>
  <si>
    <t>Dias / Horas / Minutos</t>
  </si>
  <si>
    <t>Dias / %</t>
  </si>
  <si>
    <t>1,16% x 40%  x 8,00% x 100</t>
  </si>
  <si>
    <t>Multa do FGTS sobre o Aviso Prévio Trabalhado</t>
  </si>
  <si>
    <t xml:space="preserve">PLANILHA DE PREÇOS </t>
  </si>
  <si>
    <t>BENEFÍCIOS TRABALHISTAS</t>
  </si>
  <si>
    <t>ITEM</t>
  </si>
  <si>
    <t>BENEFÍCIO TRABALHISTA</t>
  </si>
  <si>
    <t>VALOR UNITÁRIO POR EMPREGADO (R$)</t>
  </si>
  <si>
    <t>Seguro de vida e assistência funeral</t>
  </si>
  <si>
    <t>PLANILHA DE PREÇOS UNIFORME</t>
  </si>
  <si>
    <t>UNIDADE</t>
  </si>
  <si>
    <t>VALOR UNITÁRIO (R$)</t>
  </si>
  <si>
    <t>QTDE. ANUAL</t>
  </si>
  <si>
    <t>VALOR ANUAL EMPREGADO (R$)</t>
  </si>
  <si>
    <t>VALOR MENSAL EMPREGADO (R$)</t>
  </si>
  <si>
    <t>TOTAL MENSAL POR POSTO (R$)</t>
  </si>
  <si>
    <t>CATEGORIA</t>
  </si>
  <si>
    <t>QUANTIDADE DE POSTOS</t>
  </si>
  <si>
    <t>UNITÁRIO</t>
  </si>
  <si>
    <t>TOTAL MENSAL DE SERVIÇOS</t>
  </si>
  <si>
    <t>QUANTIDADE DE FUNCIONÁRIOS</t>
  </si>
  <si>
    <t>TOTAL MENSAL DOS BENEFÍCIOS TRABALHISTAS</t>
  </si>
  <si>
    <t>GARANTIA</t>
  </si>
  <si>
    <t>Masculino</t>
  </si>
  <si>
    <t>PROFISSIONAIS RESIDENTES</t>
  </si>
  <si>
    <t>Feminino</t>
  </si>
  <si>
    <r>
      <rPr>
        <b/>
        <sz val="11"/>
        <rFont val="Segoe UI Light"/>
        <family val="2"/>
      </rPr>
      <t>Terno Completo</t>
    </r>
    <r>
      <rPr>
        <sz val="11"/>
        <rFont val="Segoe UI Light"/>
        <family val="2"/>
      </rPr>
      <t xml:space="preserve">: Composto de 1 paletó e i calça, ambos sob medida e/ou devidamente ajustado, confeccionado em tecido 100% lã fria meia estação, fio super 120, fino acabamento, cor preta. O paletó e a calça deverão apresentar a mesma qualidade, cor e tecido.
</t>
    </r>
    <r>
      <rPr>
        <b/>
        <sz val="11"/>
        <rFont val="Segoe UI Light"/>
        <family val="2"/>
      </rPr>
      <t>Paletó</t>
    </r>
    <r>
      <rPr>
        <sz val="11"/>
        <rFont val="Segoe UI Light"/>
        <family val="2"/>
      </rPr>
      <t xml:space="preserve"> - estilo tradicional, abotoamento frontal com 2 ou 3 botões com casas no sentido horizontal; lapela normal com caseado no lado esquerdo; ombreiras de espuma forradas na cor do paletó; bolsos inferiores embutidos, cerzidos, com portinhola; bolso superior de peito no lado esquerdo;2 bolsos internos; forro interno; aviamento da mesma cor do tecido.
</t>
    </r>
    <r>
      <rPr>
        <b/>
        <sz val="11"/>
        <rFont val="Segoe UI Light"/>
        <family val="2"/>
      </rPr>
      <t>Calça</t>
    </r>
    <r>
      <rPr>
        <sz val="11"/>
        <rFont val="Segoe UI Light"/>
        <family val="2"/>
      </rPr>
      <t xml:space="preserve"> – estilo social, fino acabamento, com 2 bolsos frontais tipo faca com pesponto e forro também pespontado; 2 bolsos traseiros embutidos sem portinhola, cerzidos, abertura frontal, braguilha com zíper, forrada do próprio tecido do lado esquerdo com extensão de bico e botão interno e lado esquerdo em pesponto; e fecho de metal interno; passante normal; cós fechado por colchetes, bainha tradicional , aviamento da mesma cor do tecido. Ambos com etiqueta de composição e instrução de lavagem conforme determinação do INMETRO.</t>
    </r>
  </si>
  <si>
    <t>Und.</t>
  </si>
  <si>
    <r>
      <rPr>
        <b/>
        <sz val="11"/>
        <rFont val="Segoe UI Light"/>
        <family val="2"/>
      </rPr>
      <t>Camisa</t>
    </r>
    <r>
      <rPr>
        <sz val="11"/>
        <rFont val="Segoe UI Light"/>
        <family val="2"/>
      </rPr>
      <t>: em estilo social; manga longa; confeccionada em tecido 100% algodão (fio 80), de modo a não deixar transparecer a cor do corpo; cor branca, com 1 bolso frontal superior à altura do peito, colarinho sem botões entretelado em toda a sua extensão, indeformável, da mesma cor do tecido, punho aberto entretelado em toda sua extensão, abotoamento com 2 botões, pala de dois panos, aviamento da mesma cor do tecido; etiqueta de composição e instrução de lavagem conforme determinação do INMETRO.</t>
    </r>
  </si>
  <si>
    <r>
      <rPr>
        <b/>
        <sz val="11"/>
        <rFont val="Segoe UI Light"/>
        <family val="2"/>
      </rPr>
      <t>Gravata:</t>
    </r>
    <r>
      <rPr>
        <sz val="11"/>
        <rFont val="Segoe UI Light"/>
        <family val="2"/>
      </rPr>
      <t xml:space="preserve"> em tecido jaquard 100% poliéster, acabamento de 1ª qualidade, entretela grossa, com passante duplo, cor a definir (cores mais sóbrias)</t>
    </r>
  </si>
  <si>
    <r>
      <rPr>
        <b/>
        <sz val="11"/>
        <rFont val="Segoe UI Light"/>
        <family val="2"/>
      </rPr>
      <t>Cinto:</t>
    </r>
    <r>
      <rPr>
        <sz val="11"/>
        <rFont val="Segoe UI Light"/>
        <family val="2"/>
      </rPr>
      <t xml:space="preserve"> modelo social em couro de 1ª linha, cor preta, largura 3,5com (aproximadamente), fivela prata, tipo regulável</t>
    </r>
  </si>
  <si>
    <r>
      <rPr>
        <b/>
        <sz val="11"/>
        <rFont val="Segoe UI Light"/>
        <family val="2"/>
      </rPr>
      <t>Calçado:</t>
    </r>
    <r>
      <rPr>
        <sz val="11"/>
        <rFont val="Segoe UI Light"/>
        <family val="2"/>
      </rPr>
      <t xml:space="preserve"> sapato tipo esporte fino, material em couro legítimo, cor preta, com cadarço, material do solado em borracha antiderrapante.</t>
    </r>
  </si>
  <si>
    <r>
      <rPr>
        <b/>
        <sz val="11"/>
        <rFont val="Segoe UI Light"/>
        <family val="2"/>
      </rPr>
      <t>Meia:</t>
    </r>
    <r>
      <rPr>
        <sz val="11"/>
        <rFont val="Segoe UI Light"/>
        <family val="2"/>
      </rPr>
      <t xml:space="preserve"> estilo social, 100% poliamida, cano longo, cor preta</t>
    </r>
  </si>
  <si>
    <r>
      <rPr>
        <b/>
        <sz val="11"/>
        <rFont val="Segoe UI Light"/>
        <family val="2"/>
      </rPr>
      <t>Meia-calça</t>
    </r>
    <r>
      <rPr>
        <sz val="11"/>
        <rFont val="Segoe UI Light"/>
        <family val="2"/>
      </rPr>
      <t>: composição mínima de 84% poliamida e máxima de 86%, co o restante de elastano. Fio 15, na cor preta.</t>
    </r>
  </si>
  <si>
    <r>
      <rPr>
        <b/>
        <sz val="11"/>
        <rFont val="Segoe UI Light"/>
        <family val="2"/>
      </rPr>
      <t>Calçado</t>
    </r>
    <r>
      <rPr>
        <sz val="11"/>
        <rFont val="Segoe UI Light"/>
        <family val="2"/>
      </rPr>
      <t>: sapato tipo scarpin, modelo usaflex ou similar, confeccionado em couro. Macio para oferecer o máximo conforto. Palmilha em PU, ultramacia, que garante absorção de impacto e molda-se aos pés. Forro que garanta o acabamento do calçado. Salto com altura de 3,5 a 5cm, robusto, facetado.</t>
    </r>
  </si>
  <si>
    <r>
      <rPr>
        <b/>
        <sz val="11"/>
        <rFont val="Segoe UI Light"/>
        <family val="2"/>
      </rPr>
      <t>Blusa social</t>
    </r>
    <r>
      <rPr>
        <sz val="11"/>
        <rFont val="Segoe UI Light"/>
        <family val="2"/>
      </rPr>
      <t>: confeccionada em tecido microfibra 95%poliéster e 5% elastano, na cor branca. Acabamento em overlok. Medidas de acordo com o manequim da usuária.
Gola: tipo colarinho mais largo, entretelada, pespontada, com botão para fechamento.
Punho: 6cm com 1 botão na cor do tecido.
Manga: comprida
Frente dupla, coberta com o próprio tecido, abertura em toda a extensão, fechável por botões e 2 pences.
Costas: 2 pences Etiqueta de composição, tamanho da peça e instrução de lavagem conforme determinação do INMETRO.</t>
    </r>
  </si>
  <si>
    <r>
      <rPr>
        <b/>
        <sz val="11"/>
        <rFont val="Segoe UI Light"/>
        <family val="2"/>
      </rPr>
      <t>Saia</t>
    </r>
    <r>
      <rPr>
        <sz val="11"/>
        <rFont val="Segoe UI Light"/>
        <family val="2"/>
      </rPr>
      <t>: confeccionado em gabardine com elastano (lado interno acetinado) na cor preta. Acabamento em overlok, com forro em toda parte interna em cetim com elastano na cor preta. Medidas de acordo com o manequim da usuária.
Modelo: social básica cm cós, semijusta, altura do joelho, toda forrada.
Frente: 2 pences.
Cós: aproximadamente de 3,0 a 3,5cm de largura sem passador.
Parte de trás: com 2 pences para cinturar, com zíper invisível no meio e fenda de 14cm a 15cm. Barra reta.</t>
    </r>
  </si>
  <si>
    <r>
      <rPr>
        <b/>
        <sz val="11"/>
        <rFont val="Segoe UI Light"/>
        <family val="2"/>
      </rPr>
      <t>Blazer</t>
    </r>
    <r>
      <rPr>
        <sz val="11"/>
        <rFont val="Segoe UI Light"/>
        <family val="2"/>
      </rPr>
      <t>: confeccionado em gabardine com elastano (lado interno acetinado) na cor preta. Acabamento em overlok, com forro em toda parte interna em cetim com elastano na cor preta. Medidas de acordo com o manequim da usuária.
Modelo: corte de blazer clássico social com gola de alfaiate forrada e entretelada. Todo forrado na cor preta; 3 bolsos, sendo 2 inferiores na parte externa com vivo de cada lado e lapela, e, 1 bolso na parte superior externa à esquerda.
Frente: reto na barra com comprimento na altura do quadril; abertura frontal fecháveis por dois botões na cor do tecido. Manga de paletó 2 folhas.
Costas: com dois recortes (um de cada lado) e uma costura centralizada.
Barra: máquina reta. Etiqueta de composição e instrução de lavagem conforme determinação do INMETRO.</t>
    </r>
  </si>
  <si>
    <t>MÉDIA TOTAL MENSAL POR POSTO (R$)</t>
  </si>
  <si>
    <t>DESCRIÇÃO DO UNIFORME SOCIAL MASCULINO</t>
  </si>
  <si>
    <t>DESCRIÇÃO DO UNIFORME SOCIAL FEMININO</t>
  </si>
  <si>
    <t>Auxílio saúde/Plano de saúde</t>
  </si>
  <si>
    <t>MÃO DE OBRA RESIDENTE</t>
  </si>
  <si>
    <t>SERVIÇOS EVENTUAIS</t>
  </si>
  <si>
    <t xml:space="preserve">QUADRO RESUMO DA CONTRATAÇÃO </t>
  </si>
  <si>
    <t>TIPO DE SERVIÇO</t>
  </si>
  <si>
    <t>VALOR UNITÁRIO DA HORA DIA/NOITE</t>
  </si>
  <si>
    <t>TOTAL ANUAL</t>
  </si>
  <si>
    <t>Turno</t>
  </si>
  <si>
    <t>Diurno</t>
  </si>
  <si>
    <t>Noturno</t>
  </si>
  <si>
    <t>Posto</t>
  </si>
  <si>
    <t>VALOR ANUAL ESTIMADO</t>
  </si>
  <si>
    <t>Operador de mídias audiovisuais</t>
  </si>
  <si>
    <t>Editor de mídias audiouvisuais</t>
  </si>
  <si>
    <t>Diretor de imagens</t>
  </si>
  <si>
    <t>TOTAL ANUAL DE SERVIÇOS EVENTUAIS</t>
  </si>
  <si>
    <t>Operador de mídias audiovisuais (36 horas)</t>
  </si>
  <si>
    <t>BENEFÍCIOS TRABALHISTAS- PAGAMENTO POR RESSARCIMENTO</t>
  </si>
  <si>
    <t>QUANTIDADE ESTIMADA (HORAS/ANO)</t>
  </si>
  <si>
    <t>Outras Remunerações (Especificar)</t>
  </si>
  <si>
    <t>Outros Benefícios (Especificar)</t>
  </si>
  <si>
    <t>A.1</t>
  </si>
  <si>
    <t>B.1</t>
  </si>
  <si>
    <t>A.2</t>
  </si>
  <si>
    <t>B.2</t>
  </si>
  <si>
    <t>Operador mídias audiovisuais           (mão de obra residente)</t>
  </si>
  <si>
    <t>Editor de mídias audiovisuais (serviços eventuais)</t>
  </si>
  <si>
    <t>Diretor de imagens                 (serviços eventuais)</t>
  </si>
  <si>
    <t>Editor de mídias audiovisuais</t>
  </si>
  <si>
    <t>Categoria</t>
  </si>
  <si>
    <t>Auxílio creche/similares</t>
  </si>
  <si>
    <t>Identificação do serviço - ESTIMATIVA MÃO DE OBRA RESIDENTE</t>
  </si>
  <si>
    <t>Valor total do posto/180</t>
  </si>
  <si>
    <t>Valor total do posto/128,57</t>
  </si>
  <si>
    <t>Memória de Cálculo do Valor Unitário da Hora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</si>
</sst>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R$&quot;\ #,##0.00;[Red]\-&quot;R$&quot;\ #,##0.00"/>
    <numFmt numFmtId="44" formatCode="_-&quot;R$&quot;\ * #,##0.00_-;\-&quot;R$&quot;\ * #,##0.00_-;_-&quot;R$&quot;\ * &quot;-&quot;??_-;_-@_-"/>
    <numFmt numFmtId="164" formatCode="#,##0.00_ ;\-#,##0.00\ "/>
    <numFmt numFmtId="165" formatCode="#,##0.0"/>
    <numFmt numFmtId="166" formatCode="#,##0.00_ ;[Red]\-#,##0.00\ "/>
  </numFmts>
  <fonts count="35" x14ac:knownFonts="1">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0"/>
      <name val="Arial"/>
      <family val="2"/>
    </font>
    <font>
      <sz val="11"/>
      <name val="Segoe UI Light"/>
      <family val="2"/>
    </font>
    <font>
      <sz val="14"/>
      <name val="Segoe UI Light"/>
      <family val="2"/>
    </font>
    <font>
      <sz val="8"/>
      <name val="Segoe UI Light"/>
      <family val="2"/>
    </font>
    <font>
      <b/>
      <sz val="11"/>
      <name val="Segoe UI Light"/>
      <family val="2"/>
    </font>
    <font>
      <b/>
      <sz val="16"/>
      <name val="Segoe UI Light"/>
      <family val="2"/>
    </font>
    <font>
      <i/>
      <sz val="10"/>
      <name val="Segoe UI Light"/>
      <family val="2"/>
    </font>
    <font>
      <b/>
      <sz val="11"/>
      <color theme="0"/>
      <name val="Segoe UI Light"/>
      <family val="2"/>
    </font>
    <font>
      <sz val="11"/>
      <color rgb="FFFF0000"/>
      <name val="Segoe UI Light"/>
      <family val="2"/>
    </font>
    <font>
      <b/>
      <sz val="16"/>
      <color theme="5" tint="-0.499984740745262"/>
      <name val="Segoe UI Light"/>
      <family val="2"/>
    </font>
    <font>
      <sz val="11"/>
      <color theme="5" tint="-0.249977111117893"/>
      <name val="Segoe UI Light"/>
      <family val="2"/>
    </font>
    <font>
      <i/>
      <sz val="10"/>
      <color theme="0"/>
      <name val="Segoe UI Light"/>
      <family val="2"/>
    </font>
    <font>
      <b/>
      <sz val="14"/>
      <color theme="5" tint="-0.249977111117893"/>
      <name val="Segoe UI Light"/>
      <family val="2"/>
    </font>
    <font>
      <b/>
      <sz val="11"/>
      <color theme="5" tint="-0.499984740745262"/>
      <name val="Segoe UI Light"/>
      <family val="2"/>
    </font>
    <font>
      <b/>
      <sz val="14"/>
      <color theme="5" tint="-0.499984740745262"/>
      <name val="Segoe UI Light"/>
      <family val="2"/>
    </font>
    <font>
      <b/>
      <sz val="12"/>
      <color theme="5" tint="-0.499984740745262"/>
      <name val="Segoe UI Light"/>
      <family val="2"/>
    </font>
    <font>
      <b/>
      <sz val="20"/>
      <color theme="5" tint="-0.249977111117893"/>
      <name val="Segoe UI Light"/>
      <family val="2"/>
    </font>
  </fonts>
  <fills count="3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indexed="9"/>
        <bgColor indexed="26"/>
      </patternFill>
    </fill>
    <fill>
      <patternFill patternType="solid">
        <fgColor theme="0"/>
        <bgColor indexed="64"/>
      </patternFill>
    </fill>
    <fill>
      <patternFill patternType="solid">
        <fgColor theme="0"/>
        <bgColor indexed="26"/>
      </patternFill>
    </fill>
    <fill>
      <patternFill patternType="solid">
        <fgColor rgb="FFD55816"/>
        <bgColor indexed="64"/>
      </patternFill>
    </fill>
    <fill>
      <patternFill patternType="solid">
        <fgColor rgb="FFD55816"/>
        <bgColor indexed="41"/>
      </patternFill>
    </fill>
    <fill>
      <patternFill patternType="solid">
        <fgColor theme="9" tint="0.79998168889431442"/>
        <bgColor indexed="64"/>
      </patternFill>
    </fill>
    <fill>
      <patternFill patternType="solid">
        <fgColor theme="9"/>
        <bgColor indexed="26"/>
      </patternFill>
    </fill>
    <fill>
      <patternFill patternType="solid">
        <fgColor theme="9" tint="0.79998168889431442"/>
        <bgColor indexed="26"/>
      </patternFill>
    </fill>
    <fill>
      <patternFill patternType="solid">
        <fgColor theme="9"/>
        <bgColor indexed="64"/>
      </patternFill>
    </fill>
    <fill>
      <patternFill patternType="solid">
        <fgColor rgb="FFF79646"/>
        <bgColor indexed="64"/>
      </patternFill>
    </fill>
    <fill>
      <patternFill patternType="solid">
        <fgColor rgb="FFD55816"/>
        <bgColor indexed="31"/>
      </patternFill>
    </fill>
    <fill>
      <patternFill patternType="solid">
        <fgColor theme="9" tint="0.59999389629810485"/>
        <bgColor indexed="64"/>
      </patternFill>
    </fill>
    <fill>
      <patternFill patternType="solid">
        <fgColor theme="9" tint="0.59999389629810485"/>
        <bgColor indexed="26"/>
      </patternFill>
    </fill>
    <fill>
      <patternFill patternType="solid">
        <fgColor rgb="FF92D050"/>
        <bgColor indexed="64"/>
      </patternFill>
    </fill>
    <fill>
      <patternFill patternType="solid">
        <fgColor rgb="FF92D050"/>
        <bgColor indexed="26"/>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right/>
      <top style="thin">
        <color theme="0" tint="-4.9989318521683403E-2"/>
      </top>
      <bottom style="thin">
        <color theme="0" tint="-4.9989318521683403E-2"/>
      </bottom>
      <diagonal/>
    </border>
    <border>
      <left style="thin">
        <color theme="0" tint="-4.9989318521683403E-2"/>
      </left>
      <right style="thin">
        <color theme="0" tint="-4.9989318521683403E-2"/>
      </right>
      <top/>
      <bottom style="thin">
        <color theme="0" tint="-4.9989318521683403E-2"/>
      </bottom>
      <diagonal/>
    </border>
    <border>
      <left/>
      <right/>
      <top/>
      <bottom style="thin">
        <color theme="0" tint="-4.9989318521683403E-2"/>
      </bottom>
      <diagonal/>
    </border>
    <border>
      <left/>
      <right/>
      <top style="thin">
        <color theme="0" tint="-4.9989318521683403E-2"/>
      </top>
      <bottom/>
      <diagonal/>
    </border>
    <border>
      <left style="thin">
        <color theme="0" tint="-4.9989318521683403E-2"/>
      </left>
      <right style="thin">
        <color theme="0" tint="-4.9989318521683403E-2"/>
      </right>
      <top style="thin">
        <color theme="0" tint="-4.9989318521683403E-2"/>
      </top>
      <bottom/>
      <diagonal/>
    </border>
    <border>
      <left style="thin">
        <color theme="0" tint="-4.9989318521683403E-2"/>
      </left>
      <right/>
      <top style="thin">
        <color theme="0" tint="-4.9989318521683403E-2"/>
      </top>
      <bottom/>
      <diagonal/>
    </border>
    <border>
      <left/>
      <right style="thin">
        <color theme="0" tint="-4.9989318521683403E-2"/>
      </right>
      <top style="thin">
        <color theme="0" tint="-4.9989318521683403E-2"/>
      </top>
      <bottom/>
      <diagonal/>
    </border>
    <border>
      <left style="thin">
        <color theme="0" tint="-4.9989318521683403E-2"/>
      </left>
      <right/>
      <top/>
      <bottom style="thin">
        <color theme="0" tint="-4.9989318521683403E-2"/>
      </bottom>
      <diagonal/>
    </border>
    <border>
      <left/>
      <right style="thin">
        <color theme="0" tint="-4.9989318521683403E-2"/>
      </right>
      <top/>
      <bottom style="thin">
        <color theme="0" tint="-4.9989318521683403E-2"/>
      </bottom>
      <diagonal/>
    </border>
    <border>
      <left style="thin">
        <color theme="0" tint="-4.9989318521683403E-2"/>
      </left>
      <right/>
      <top/>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 fillId="4" borderId="0" applyNumberFormat="0" applyBorder="0" applyAlignment="0" applyProtection="0"/>
    <xf numFmtId="0" fontId="4" fillId="16" borderId="1" applyNumberFormat="0" applyAlignment="0" applyProtection="0"/>
    <xf numFmtId="0" fontId="5" fillId="17" borderId="2" applyNumberFormat="0" applyAlignment="0" applyProtection="0"/>
    <xf numFmtId="0" fontId="6" fillId="0" borderId="3" applyNumberFormat="0" applyFill="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21" borderId="0" applyNumberFormat="0" applyBorder="0" applyAlignment="0" applyProtection="0"/>
    <xf numFmtId="0" fontId="7" fillId="7" borderId="1" applyNumberFormat="0" applyAlignment="0" applyProtection="0"/>
    <xf numFmtId="0" fontId="8" fillId="3" borderId="0" applyNumberFormat="0" applyBorder="0" applyAlignment="0" applyProtection="0"/>
    <xf numFmtId="0" fontId="9" fillId="22" borderId="0" applyNumberFormat="0" applyBorder="0" applyAlignment="0" applyProtection="0"/>
    <xf numFmtId="0" fontId="18" fillId="23" borderId="4" applyNumberFormat="0" applyAlignment="0" applyProtection="0"/>
    <xf numFmtId="0" fontId="10" fillId="16" borderId="5" applyNumberFormat="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6" applyNumberFormat="0" applyFill="0" applyAlignment="0" applyProtection="0"/>
    <xf numFmtId="0" fontId="15" fillId="0" borderId="7" applyNumberFormat="0" applyFill="0" applyAlignment="0" applyProtection="0"/>
    <xf numFmtId="0" fontId="16" fillId="0" borderId="8" applyNumberFormat="0" applyFill="0" applyAlignment="0" applyProtection="0"/>
    <xf numFmtId="0" fontId="16" fillId="0" borderId="0" applyNumberFormat="0" applyFill="0" applyBorder="0" applyAlignment="0" applyProtection="0"/>
    <xf numFmtId="0" fontId="17" fillId="0" borderId="9" applyNumberFormat="0" applyFill="0" applyAlignment="0" applyProtection="0"/>
    <xf numFmtId="44" fontId="18" fillId="0" borderId="0" applyFont="0" applyFill="0" applyBorder="0" applyAlignment="0" applyProtection="0"/>
  </cellStyleXfs>
  <cellXfs count="236">
    <xf numFmtId="0" fontId="0" fillId="0" borderId="0" xfId="0"/>
    <xf numFmtId="0" fontId="25" fillId="27" borderId="10" xfId="0" applyFont="1" applyFill="1" applyBorder="1" applyAlignment="1">
      <alignment horizontal="center" vertical="center"/>
    </xf>
    <xf numFmtId="0" fontId="25" fillId="27" borderId="10" xfId="0" applyFont="1" applyFill="1" applyBorder="1" applyAlignment="1">
      <alignment horizontal="center" vertical="center" wrapText="1"/>
    </xf>
    <xf numFmtId="0" fontId="25" fillId="28" borderId="10" xfId="0" applyFont="1" applyFill="1" applyBorder="1" applyAlignment="1">
      <alignment horizontal="center" vertical="center" wrapText="1"/>
    </xf>
    <xf numFmtId="4" fontId="19" fillId="29" borderId="10" xfId="0" applyNumberFormat="1" applyFont="1" applyFill="1" applyBorder="1" applyAlignment="1">
      <alignment horizontal="right" vertical="center" wrapText="1"/>
    </xf>
    <xf numFmtId="0" fontId="22" fillId="24" borderId="0" xfId="0" applyFont="1" applyFill="1"/>
    <xf numFmtId="0" fontId="22" fillId="25" borderId="0" xfId="0" applyFont="1" applyFill="1" applyAlignment="1">
      <alignment horizontal="left" vertical="center" wrapText="1"/>
    </xf>
    <xf numFmtId="0" fontId="19" fillId="25" borderId="0" xfId="0" applyFont="1" applyFill="1"/>
    <xf numFmtId="39" fontId="19" fillId="25" borderId="0" xfId="0" applyNumberFormat="1" applyFont="1" applyFill="1" applyAlignment="1">
      <alignment horizontal="right"/>
    </xf>
    <xf numFmtId="0" fontId="19" fillId="25" borderId="0" xfId="0" applyFont="1" applyFill="1" applyAlignment="1">
      <alignment horizontal="left" vertical="center" wrapText="1"/>
    </xf>
    <xf numFmtId="0" fontId="23" fillId="25" borderId="0" xfId="0" applyFont="1" applyFill="1" applyAlignment="1">
      <alignment horizontal="left" vertical="center"/>
    </xf>
    <xf numFmtId="0" fontId="19" fillId="25" borderId="0" xfId="0" applyFont="1" applyFill="1" applyAlignment="1">
      <alignment horizontal="center"/>
    </xf>
    <xf numFmtId="0" fontId="19" fillId="26" borderId="0" xfId="0" applyFont="1" applyFill="1"/>
    <xf numFmtId="39" fontId="22" fillId="25" borderId="0" xfId="0" applyNumberFormat="1" applyFont="1" applyFill="1" applyAlignment="1">
      <alignment horizontal="center" vertical="center" wrapText="1"/>
    </xf>
    <xf numFmtId="39" fontId="19" fillId="25" borderId="0" xfId="0" applyNumberFormat="1" applyFont="1" applyFill="1" applyAlignment="1">
      <alignment horizontal="center"/>
    </xf>
    <xf numFmtId="0" fontId="22" fillId="25" borderId="0" xfId="0" applyFont="1" applyFill="1" applyAlignment="1">
      <alignment horizontal="center" vertical="center" wrapText="1"/>
    </xf>
    <xf numFmtId="39" fontId="19" fillId="25" borderId="0" xfId="0" applyNumberFormat="1" applyFont="1" applyFill="1" applyAlignment="1">
      <alignment horizontal="center" vertical="center" wrapText="1"/>
    </xf>
    <xf numFmtId="49" fontId="19" fillId="30" borderId="10" xfId="0" applyNumberFormat="1" applyFont="1" applyFill="1" applyBorder="1" applyAlignment="1" applyProtection="1">
      <alignment horizontal="center"/>
      <protection locked="0"/>
    </xf>
    <xf numFmtId="0" fontId="25" fillId="27" borderId="10" xfId="0" applyFont="1" applyFill="1" applyBorder="1" applyAlignment="1">
      <alignment horizontal="center"/>
    </xf>
    <xf numFmtId="14" fontId="19" fillId="30" borderId="10" xfId="0" applyNumberFormat="1" applyFont="1" applyFill="1" applyBorder="1" applyAlignment="1" applyProtection="1">
      <alignment horizontal="center"/>
      <protection locked="0"/>
    </xf>
    <xf numFmtId="0" fontId="19" fillId="29" borderId="10" xfId="0" applyFont="1" applyFill="1" applyBorder="1"/>
    <xf numFmtId="0" fontId="25" fillId="25" borderId="0" xfId="0" applyFont="1" applyFill="1" applyAlignment="1">
      <alignment horizontal="center"/>
    </xf>
    <xf numFmtId="0" fontId="19" fillId="25" borderId="0" xfId="0" applyFont="1" applyFill="1" applyAlignment="1">
      <alignment horizontal="left"/>
    </xf>
    <xf numFmtId="0" fontId="19" fillId="29" borderId="10" xfId="0" applyFont="1" applyFill="1" applyBorder="1" applyAlignment="1">
      <alignment horizontal="center"/>
    </xf>
    <xf numFmtId="0" fontId="29" fillId="27" borderId="10" xfId="0" applyFont="1" applyFill="1" applyBorder="1" applyAlignment="1">
      <alignment horizontal="center" vertical="center" wrapText="1"/>
    </xf>
    <xf numFmtId="39" fontId="24" fillId="29" borderId="10" xfId="0" applyNumberFormat="1" applyFont="1" applyFill="1" applyBorder="1" applyAlignment="1">
      <alignment horizontal="center" vertical="center" wrapText="1"/>
    </xf>
    <xf numFmtId="0" fontId="30" fillId="25" borderId="0" xfId="0" applyFont="1" applyFill="1" applyAlignment="1">
      <alignment horizontal="left" vertical="center"/>
    </xf>
    <xf numFmtId="0" fontId="28" fillId="25" borderId="0" xfId="0" applyFont="1" applyFill="1" applyAlignment="1">
      <alignment horizontal="left" vertical="center" wrapText="1"/>
    </xf>
    <xf numFmtId="39" fontId="28" fillId="25" borderId="0" xfId="0" applyNumberFormat="1" applyFont="1" applyFill="1" applyAlignment="1">
      <alignment horizontal="center" vertical="center" wrapText="1"/>
    </xf>
    <xf numFmtId="39" fontId="19" fillId="29" borderId="10" xfId="0" applyNumberFormat="1" applyFont="1" applyFill="1" applyBorder="1" applyAlignment="1">
      <alignment horizontal="right" vertical="center" wrapText="1"/>
    </xf>
    <xf numFmtId="39" fontId="25" fillId="27" borderId="10" xfId="0" applyNumberFormat="1" applyFont="1" applyFill="1" applyBorder="1" applyAlignment="1">
      <alignment horizontal="right" vertical="center" wrapText="1"/>
    </xf>
    <xf numFmtId="2" fontId="19" fillId="29" borderId="10" xfId="0" applyNumberFormat="1" applyFont="1" applyFill="1" applyBorder="1" applyAlignment="1">
      <alignment horizontal="center" vertical="center"/>
    </xf>
    <xf numFmtId="2" fontId="25" fillId="27" borderId="10" xfId="0" applyNumberFormat="1" applyFont="1" applyFill="1" applyBorder="1" applyAlignment="1">
      <alignment horizontal="center" vertical="center"/>
    </xf>
    <xf numFmtId="4" fontId="25" fillId="34" borderId="10" xfId="0" applyNumberFormat="1" applyFont="1" applyFill="1" applyBorder="1" applyAlignment="1">
      <alignment horizontal="right" vertical="center" wrapText="1"/>
    </xf>
    <xf numFmtId="4" fontId="25" fillId="27" borderId="10" xfId="0" applyNumberFormat="1" applyFont="1" applyFill="1" applyBorder="1" applyAlignment="1">
      <alignment horizontal="right"/>
    </xf>
    <xf numFmtId="4" fontId="25" fillId="27" borderId="10" xfId="0" applyNumberFormat="1" applyFont="1" applyFill="1" applyBorder="1" applyAlignment="1">
      <alignment horizontal="right" vertical="center"/>
    </xf>
    <xf numFmtId="4" fontId="25" fillId="34" borderId="11" xfId="0" applyNumberFormat="1" applyFont="1" applyFill="1" applyBorder="1" applyAlignment="1">
      <alignment horizontal="right" vertical="center" wrapText="1"/>
    </xf>
    <xf numFmtId="0" fontId="25" fillId="27" borderId="11" xfId="0" applyFont="1" applyFill="1" applyBorder="1" applyAlignment="1">
      <alignment horizontal="center"/>
    </xf>
    <xf numFmtId="2" fontId="19" fillId="29" borderId="10" xfId="0" applyNumberFormat="1" applyFont="1" applyFill="1" applyBorder="1" applyAlignment="1">
      <alignment horizontal="center" vertical="center" wrapText="1"/>
    </xf>
    <xf numFmtId="39" fontId="19" fillId="29" borderId="11" xfId="0" applyNumberFormat="1" applyFont="1" applyFill="1" applyBorder="1" applyAlignment="1">
      <alignment horizontal="right" vertical="center" wrapText="1"/>
    </xf>
    <xf numFmtId="39" fontId="19" fillId="29" borderId="10" xfId="0" applyNumberFormat="1" applyFont="1" applyFill="1" applyBorder="1" applyAlignment="1">
      <alignment horizontal="center" vertical="center" wrapText="1"/>
    </xf>
    <xf numFmtId="0" fontId="25" fillId="27" borderId="11" xfId="0" applyFont="1" applyFill="1" applyBorder="1" applyAlignment="1">
      <alignment horizontal="center" vertical="center"/>
    </xf>
    <xf numFmtId="0" fontId="25" fillId="28" borderId="11" xfId="0" applyFont="1" applyFill="1" applyBorder="1" applyAlignment="1">
      <alignment horizontal="center" vertical="center" wrapText="1"/>
    </xf>
    <xf numFmtId="0" fontId="31" fillId="25" borderId="0" xfId="0" applyFont="1" applyFill="1" applyAlignment="1">
      <alignment horizontal="left"/>
    </xf>
    <xf numFmtId="0" fontId="32" fillId="25" borderId="0" xfId="0" applyFont="1" applyFill="1" applyAlignment="1">
      <alignment horizontal="left" vertical="center"/>
    </xf>
    <xf numFmtId="164" fontId="19" fillId="29" borderId="10" xfId="0" applyNumberFormat="1" applyFont="1" applyFill="1" applyBorder="1" applyAlignment="1">
      <alignment horizontal="center" vertical="center" wrapText="1"/>
    </xf>
    <xf numFmtId="4" fontId="19" fillId="35" borderId="10" xfId="0" applyNumberFormat="1" applyFont="1" applyFill="1" applyBorder="1" applyAlignment="1">
      <alignment horizontal="right" vertical="center" wrapText="1"/>
    </xf>
    <xf numFmtId="39" fontId="19" fillId="35" borderId="10" xfId="0" applyNumberFormat="1" applyFont="1" applyFill="1" applyBorder="1" applyAlignment="1">
      <alignment horizontal="right" vertical="center" wrapText="1"/>
    </xf>
    <xf numFmtId="2" fontId="19" fillId="35" borderId="10" xfId="0" applyNumberFormat="1" applyFont="1" applyFill="1" applyBorder="1" applyAlignment="1">
      <alignment horizontal="center" vertical="center" wrapText="1"/>
    </xf>
    <xf numFmtId="39" fontId="19" fillId="35" borderId="11" xfId="0" applyNumberFormat="1" applyFont="1" applyFill="1" applyBorder="1" applyAlignment="1">
      <alignment horizontal="right" vertical="center" wrapText="1"/>
    </xf>
    <xf numFmtId="39" fontId="19" fillId="35" borderId="10" xfId="0" applyNumberFormat="1" applyFont="1" applyFill="1" applyBorder="1" applyAlignment="1">
      <alignment horizontal="center" vertical="center" wrapText="1"/>
    </xf>
    <xf numFmtId="39" fontId="24" fillId="35" borderId="10" xfId="0" applyNumberFormat="1" applyFont="1" applyFill="1" applyBorder="1" applyAlignment="1">
      <alignment horizontal="center" vertical="center" wrapText="1"/>
    </xf>
    <xf numFmtId="39" fontId="24" fillId="29" borderId="10" xfId="0" applyNumberFormat="1" applyFont="1" applyFill="1" applyBorder="1" applyAlignment="1">
      <alignment horizontal="right" vertical="center" wrapText="1"/>
    </xf>
    <xf numFmtId="39" fontId="24" fillId="35" borderId="10" xfId="0" applyNumberFormat="1" applyFont="1" applyFill="1" applyBorder="1" applyAlignment="1">
      <alignment horizontal="right" vertical="center" wrapText="1"/>
    </xf>
    <xf numFmtId="0" fontId="19" fillId="35" borderId="10" xfId="0" applyFont="1" applyFill="1" applyBorder="1" applyAlignment="1">
      <alignment horizontal="center"/>
    </xf>
    <xf numFmtId="0" fontId="25" fillId="27" borderId="13" xfId="0" applyFont="1" applyFill="1" applyBorder="1" applyAlignment="1">
      <alignment horizontal="center" vertical="center" wrapText="1"/>
    </xf>
    <xf numFmtId="0" fontId="19" fillId="31" borderId="10" xfId="0" applyFont="1" applyFill="1" applyBorder="1" applyAlignment="1">
      <alignment horizontal="justify" vertical="center" wrapText="1"/>
    </xf>
    <xf numFmtId="4" fontId="19" fillId="30" borderId="10" xfId="0" applyNumberFormat="1" applyFont="1" applyFill="1" applyBorder="1" applyAlignment="1" applyProtection="1">
      <alignment horizontal="right"/>
      <protection locked="0"/>
    </xf>
    <xf numFmtId="0" fontId="19" fillId="30" borderId="10" xfId="0" applyFont="1" applyFill="1" applyBorder="1" applyAlignment="1" applyProtection="1">
      <alignment horizontal="center" vertical="center"/>
      <protection locked="0"/>
    </xf>
    <xf numFmtId="3" fontId="19" fillId="29" borderId="10" xfId="0" applyNumberFormat="1" applyFont="1" applyFill="1" applyBorder="1" applyAlignment="1">
      <alignment horizontal="right" vertical="center" wrapText="1"/>
    </xf>
    <xf numFmtId="165" fontId="19" fillId="29" borderId="10" xfId="0" applyNumberFormat="1" applyFont="1" applyFill="1" applyBorder="1" applyAlignment="1">
      <alignment horizontal="right" vertical="center" wrapText="1"/>
    </xf>
    <xf numFmtId="3" fontId="19" fillId="35" borderId="10" xfId="0" applyNumberFormat="1" applyFont="1" applyFill="1" applyBorder="1" applyAlignment="1">
      <alignment horizontal="right" vertical="center" wrapText="1"/>
    </xf>
    <xf numFmtId="165" fontId="19" fillId="35" borderId="10" xfId="0" applyNumberFormat="1" applyFont="1" applyFill="1" applyBorder="1" applyAlignment="1">
      <alignment horizontal="right" vertical="center" wrapText="1"/>
    </xf>
    <xf numFmtId="37" fontId="19" fillId="35" borderId="10" xfId="0" applyNumberFormat="1" applyFont="1" applyFill="1" applyBorder="1" applyAlignment="1">
      <alignment horizontal="right" vertical="center" wrapText="1"/>
    </xf>
    <xf numFmtId="37" fontId="19" fillId="29" borderId="10" xfId="0" applyNumberFormat="1" applyFont="1" applyFill="1" applyBorder="1" applyAlignment="1">
      <alignment horizontal="right" vertical="center" wrapText="1"/>
    </xf>
    <xf numFmtId="4" fontId="19" fillId="32" borderId="10" xfId="0" applyNumberFormat="1" applyFont="1" applyFill="1" applyBorder="1" applyAlignment="1" applyProtection="1">
      <alignment horizontal="right" vertical="center" wrapText="1"/>
      <protection locked="0"/>
    </xf>
    <xf numFmtId="39" fontId="19" fillId="32" borderId="10" xfId="0" applyNumberFormat="1" applyFont="1" applyFill="1" applyBorder="1" applyAlignment="1" applyProtection="1">
      <alignment horizontal="right" vertical="center" wrapText="1"/>
      <protection locked="0"/>
    </xf>
    <xf numFmtId="39" fontId="19" fillId="32" borderId="11" xfId="0" applyNumberFormat="1" applyFont="1" applyFill="1" applyBorder="1" applyAlignment="1" applyProtection="1">
      <alignment horizontal="right" vertical="center" wrapText="1"/>
      <protection locked="0"/>
    </xf>
    <xf numFmtId="0" fontId="20" fillId="30" borderId="13" xfId="0" applyFont="1" applyFill="1" applyBorder="1" applyProtection="1">
      <protection locked="0"/>
    </xf>
    <xf numFmtId="39" fontId="19" fillId="32" borderId="10" xfId="0" applyNumberFormat="1" applyFont="1" applyFill="1" applyBorder="1" applyAlignment="1" applyProtection="1">
      <alignment horizontal="center" vertical="center" wrapText="1"/>
      <protection locked="0"/>
    </xf>
    <xf numFmtId="0" fontId="25" fillId="27" borderId="13" xfId="0" applyFont="1" applyFill="1" applyBorder="1" applyAlignment="1">
      <alignment horizontal="center" vertical="center"/>
    </xf>
    <xf numFmtId="0" fontId="25" fillId="27" borderId="12" xfId="0" applyFont="1" applyFill="1" applyBorder="1" applyAlignment="1">
      <alignment horizontal="center" vertical="center"/>
    </xf>
    <xf numFmtId="0" fontId="19" fillId="30" borderId="13" xfId="0" applyFont="1" applyFill="1" applyBorder="1" applyAlignment="1" applyProtection="1">
      <alignment horizontal="center" vertical="center" wrapText="1"/>
      <protection locked="0"/>
    </xf>
    <xf numFmtId="0" fontId="19" fillId="29" borderId="10" xfId="0" applyFont="1" applyFill="1" applyBorder="1" applyAlignment="1">
      <alignment horizontal="left" vertical="center" wrapText="1"/>
    </xf>
    <xf numFmtId="14" fontId="20" fillId="31" borderId="13" xfId="0" applyNumberFormat="1" applyFont="1" applyFill="1" applyBorder="1" applyAlignment="1">
      <alignment horizontal="right"/>
    </xf>
    <xf numFmtId="14" fontId="20" fillId="31" borderId="13" xfId="0" applyNumberFormat="1" applyFont="1" applyFill="1" applyBorder="1"/>
    <xf numFmtId="0" fontId="21" fillId="26" borderId="0" xfId="0" applyFont="1" applyFill="1"/>
    <xf numFmtId="14" fontId="19" fillId="36" borderId="10" xfId="0" applyNumberFormat="1" applyFont="1" applyFill="1" applyBorder="1" applyAlignment="1">
      <alignment horizontal="center"/>
    </xf>
    <xf numFmtId="2" fontId="19" fillId="36" borderId="10" xfId="0" applyNumberFormat="1" applyFont="1" applyFill="1" applyBorder="1" applyAlignment="1">
      <alignment horizontal="center"/>
    </xf>
    <xf numFmtId="0" fontId="27" fillId="25" borderId="0" xfId="0" applyFont="1" applyFill="1" applyAlignment="1">
      <alignment vertical="center"/>
    </xf>
    <xf numFmtId="0" fontId="19" fillId="25" borderId="0" xfId="0" applyFont="1" applyFill="1" applyAlignment="1">
      <alignment vertical="top"/>
    </xf>
    <xf numFmtId="0" fontId="21" fillId="26" borderId="0" xfId="0" applyFont="1" applyFill="1" applyAlignment="1">
      <alignment vertical="top"/>
    </xf>
    <xf numFmtId="0" fontId="28" fillId="25" borderId="0" xfId="0" applyFont="1" applyFill="1"/>
    <xf numFmtId="0" fontId="26" fillId="25" borderId="0" xfId="0" applyFont="1" applyFill="1"/>
    <xf numFmtId="0" fontId="26" fillId="25" borderId="0" xfId="0" applyFont="1" applyFill="1" applyAlignment="1">
      <alignment wrapText="1"/>
    </xf>
    <xf numFmtId="0" fontId="26" fillId="25" borderId="0" xfId="0" applyFont="1" applyFill="1" applyAlignment="1">
      <alignment horizontal="center" wrapText="1"/>
    </xf>
    <xf numFmtId="0" fontId="19" fillId="25" borderId="0" xfId="0" applyFont="1" applyFill="1" applyAlignment="1">
      <alignment wrapText="1"/>
    </xf>
    <xf numFmtId="37" fontId="19" fillId="35" borderId="10" xfId="0" applyNumberFormat="1" applyFont="1" applyFill="1" applyBorder="1" applyAlignment="1">
      <alignment horizontal="center"/>
    </xf>
    <xf numFmtId="0" fontId="22" fillId="24" borderId="0" xfId="0" applyFont="1" applyFill="1" applyAlignment="1">
      <alignment horizontal="left"/>
    </xf>
    <xf numFmtId="49" fontId="19" fillId="24" borderId="0" xfId="0" applyNumberFormat="1" applyFont="1" applyFill="1" applyAlignment="1">
      <alignment horizontal="center"/>
    </xf>
    <xf numFmtId="0" fontId="21" fillId="26" borderId="0" xfId="0" applyFont="1" applyFill="1" applyAlignment="1">
      <alignment horizontal="center" vertical="center"/>
    </xf>
    <xf numFmtId="14" fontId="19" fillId="26" borderId="0" xfId="0" applyNumberFormat="1" applyFont="1" applyFill="1" applyAlignment="1">
      <alignment horizontal="center"/>
    </xf>
    <xf numFmtId="0" fontId="27" fillId="25" borderId="0" xfId="0" applyFont="1" applyFill="1"/>
    <xf numFmtId="0" fontId="19" fillId="25" borderId="0" xfId="0" applyFont="1" applyFill="1" applyAlignment="1">
      <alignment vertical="center" wrapText="1"/>
    </xf>
    <xf numFmtId="0" fontId="19" fillId="30" borderId="10" xfId="0" applyFont="1" applyFill="1" applyBorder="1" applyAlignment="1" applyProtection="1">
      <alignment horizontal="center" vertical="center" wrapText="1"/>
      <protection locked="0"/>
    </xf>
    <xf numFmtId="0" fontId="19" fillId="35" borderId="10" xfId="0" applyFont="1" applyFill="1" applyBorder="1"/>
    <xf numFmtId="14" fontId="19" fillId="31" borderId="10" xfId="0" applyNumberFormat="1" applyFont="1" applyFill="1" applyBorder="1" applyAlignment="1">
      <alignment horizontal="center"/>
    </xf>
    <xf numFmtId="49" fontId="19" fillId="30" borderId="13" xfId="0" applyNumberFormat="1" applyFont="1" applyFill="1" applyBorder="1" applyAlignment="1" applyProtection="1">
      <alignment horizontal="left" vertical="center" wrapText="1"/>
      <protection locked="0"/>
    </xf>
    <xf numFmtId="0" fontId="20" fillId="31" borderId="13" xfId="0" applyFont="1" applyFill="1" applyBorder="1" applyAlignment="1">
      <alignment horizontal="right"/>
    </xf>
    <xf numFmtId="49" fontId="19" fillId="31" borderId="10" xfId="0" applyNumberFormat="1" applyFont="1" applyFill="1" applyBorder="1" applyAlignment="1">
      <alignment horizontal="center"/>
    </xf>
    <xf numFmtId="0" fontId="25" fillId="28" borderId="18" xfId="0" applyFont="1" applyFill="1" applyBorder="1" applyAlignment="1">
      <alignment horizontal="center" vertical="center" wrapText="1"/>
    </xf>
    <xf numFmtId="0" fontId="19" fillId="35" borderId="15" xfId="0" applyFont="1" applyFill="1" applyBorder="1" applyAlignment="1">
      <alignment horizontal="center" vertical="center"/>
    </xf>
    <xf numFmtId="0" fontId="19" fillId="35" borderId="15" xfId="0" applyFont="1" applyFill="1" applyBorder="1" applyAlignment="1">
      <alignment vertical="distributed"/>
    </xf>
    <xf numFmtId="0" fontId="19" fillId="29" borderId="13" xfId="0" applyFont="1" applyFill="1" applyBorder="1" applyAlignment="1">
      <alignment horizontal="center" vertical="center"/>
    </xf>
    <xf numFmtId="0" fontId="19" fillId="31" borderId="13" xfId="0" applyFont="1" applyFill="1" applyBorder="1" applyAlignment="1">
      <alignment vertical="center" wrapText="1"/>
    </xf>
    <xf numFmtId="0" fontId="19" fillId="35" borderId="15" xfId="0" applyFont="1" applyFill="1" applyBorder="1" applyAlignment="1">
      <alignment vertical="distributed" wrapText="1"/>
    </xf>
    <xf numFmtId="0" fontId="19" fillId="31" borderId="13" xfId="0" applyFont="1" applyFill="1" applyBorder="1" applyAlignment="1">
      <alignment vertical="distributed" wrapText="1"/>
    </xf>
    <xf numFmtId="0" fontId="19" fillId="35" borderId="15" xfId="0" applyFont="1" applyFill="1" applyBorder="1" applyAlignment="1">
      <alignment horizontal="center" vertical="distributed"/>
    </xf>
    <xf numFmtId="4" fontId="19" fillId="35" borderId="19" xfId="0" applyNumberFormat="1" applyFont="1" applyFill="1" applyBorder="1" applyAlignment="1">
      <alignment horizontal="right" vertical="center"/>
    </xf>
    <xf numFmtId="0" fontId="19" fillId="31" borderId="14" xfId="0" applyFont="1" applyFill="1" applyBorder="1" applyAlignment="1">
      <alignment horizontal="center" vertical="center" wrapText="1"/>
    </xf>
    <xf numFmtId="4" fontId="19" fillId="29" borderId="13" xfId="0" applyNumberFormat="1" applyFont="1" applyFill="1" applyBorder="1" applyAlignment="1">
      <alignment horizontal="right" vertical="center"/>
    </xf>
    <xf numFmtId="0" fontId="19" fillId="31" borderId="14" xfId="0" applyFont="1" applyFill="1" applyBorder="1" applyAlignment="1">
      <alignment horizontal="center" vertical="distributed" wrapText="1"/>
    </xf>
    <xf numFmtId="0" fontId="19" fillId="35" borderId="19" xfId="0" applyFont="1" applyFill="1" applyBorder="1" applyAlignment="1">
      <alignment horizontal="center"/>
    </xf>
    <xf numFmtId="4" fontId="19" fillId="35" borderId="19" xfId="0" applyNumberFormat="1" applyFont="1" applyFill="1" applyBorder="1" applyAlignment="1">
      <alignment horizontal="right"/>
    </xf>
    <xf numFmtId="0" fontId="19" fillId="29" borderId="13" xfId="0" applyFont="1" applyFill="1" applyBorder="1" applyAlignment="1">
      <alignment horizontal="center"/>
    </xf>
    <xf numFmtId="4" fontId="19" fillId="29" borderId="13" xfId="0" applyNumberFormat="1" applyFont="1" applyFill="1" applyBorder="1" applyAlignment="1">
      <alignment horizontal="right"/>
    </xf>
    <xf numFmtId="4" fontId="0" fillId="0" borderId="0" xfId="0" applyNumberFormat="1"/>
    <xf numFmtId="4" fontId="19" fillId="37" borderId="10" xfId="0" applyNumberFormat="1" applyFont="1" applyFill="1" applyBorder="1" applyAlignment="1" applyProtection="1">
      <alignment horizontal="right" vertical="center" wrapText="1"/>
      <protection locked="0"/>
    </xf>
    <xf numFmtId="0" fontId="19" fillId="29" borderId="14" xfId="0" applyFont="1" applyFill="1" applyBorder="1" applyAlignment="1">
      <alignment horizontal="center"/>
    </xf>
    <xf numFmtId="0" fontId="19" fillId="35" borderId="15" xfId="0" applyFont="1" applyFill="1" applyBorder="1" applyAlignment="1">
      <alignment horizontal="center"/>
    </xf>
    <xf numFmtId="0" fontId="19" fillId="31" borderId="12" xfId="0" applyFont="1" applyFill="1" applyBorder="1" applyAlignment="1">
      <alignment horizontal="center" vertical="center" wrapText="1"/>
    </xf>
    <xf numFmtId="40" fontId="19" fillId="35" borderId="19" xfId="0" applyNumberFormat="1" applyFont="1" applyFill="1" applyBorder="1" applyAlignment="1">
      <alignment horizontal="right"/>
    </xf>
    <xf numFmtId="40" fontId="19" fillId="31" borderId="12" xfId="0" applyNumberFormat="1" applyFont="1" applyFill="1" applyBorder="1" applyAlignment="1">
      <alignment vertical="center" wrapText="1"/>
    </xf>
    <xf numFmtId="166" fontId="19" fillId="35" borderId="19" xfId="0" applyNumberFormat="1" applyFont="1" applyFill="1" applyBorder="1" applyAlignment="1">
      <alignment horizontal="center"/>
    </xf>
    <xf numFmtId="166" fontId="19" fillId="31" borderId="13" xfId="0" applyNumberFormat="1" applyFont="1" applyFill="1" applyBorder="1" applyAlignment="1">
      <alignment horizontal="center" vertical="center" wrapText="1"/>
    </xf>
    <xf numFmtId="39" fontId="19" fillId="37" borderId="10" xfId="0" applyNumberFormat="1" applyFont="1" applyFill="1" applyBorder="1" applyAlignment="1" applyProtection="1">
      <alignment horizontal="right" vertical="center" wrapText="1"/>
      <protection locked="0"/>
    </xf>
    <xf numFmtId="4" fontId="22" fillId="32" borderId="10" xfId="0" applyNumberFormat="1" applyFont="1" applyFill="1" applyBorder="1" applyAlignment="1" applyProtection="1">
      <alignment horizontal="center" vertical="center" wrapText="1"/>
      <protection locked="0"/>
    </xf>
    <xf numFmtId="39" fontId="19" fillId="37" borderId="10" xfId="0" applyNumberFormat="1" applyFont="1" applyFill="1" applyBorder="1" applyAlignment="1" applyProtection="1">
      <alignment vertical="center" wrapText="1"/>
      <protection locked="0"/>
    </xf>
    <xf numFmtId="4" fontId="19" fillId="37" borderId="15" xfId="0" applyNumberFormat="1" applyFont="1" applyFill="1" applyBorder="1" applyAlignment="1">
      <alignment horizontal="right" vertical="center"/>
    </xf>
    <xf numFmtId="4" fontId="19" fillId="38" borderId="12" xfId="0" applyNumberFormat="1" applyFont="1" applyFill="1" applyBorder="1" applyAlignment="1">
      <alignment horizontal="right" vertical="center" wrapText="1"/>
    </xf>
    <xf numFmtId="8" fontId="19" fillId="37" borderId="15" xfId="43" applyNumberFormat="1" applyFont="1" applyFill="1" applyBorder="1" applyAlignment="1">
      <alignment horizontal="right" vertical="center"/>
    </xf>
    <xf numFmtId="8" fontId="19" fillId="38" borderId="12" xfId="43" applyNumberFormat="1" applyFont="1" applyFill="1" applyBorder="1" applyAlignment="1">
      <alignment horizontal="right" vertical="center" wrapText="1"/>
    </xf>
    <xf numFmtId="37" fontId="19" fillId="37" borderId="10" xfId="0" applyNumberFormat="1" applyFont="1" applyFill="1" applyBorder="1" applyAlignment="1" applyProtection="1">
      <alignment horizontal="right" vertical="center" wrapText="1"/>
      <protection locked="0"/>
    </xf>
    <xf numFmtId="0" fontId="25" fillId="27" borderId="15" xfId="0" applyFont="1" applyFill="1" applyBorder="1" applyAlignment="1">
      <alignment horizontal="left"/>
    </xf>
    <xf numFmtId="0" fontId="19" fillId="32" borderId="10" xfId="0" applyFont="1" applyFill="1" applyBorder="1" applyAlignment="1" applyProtection="1">
      <alignment horizontal="center"/>
      <protection locked="0"/>
    </xf>
    <xf numFmtId="0" fontId="19" fillId="29" borderId="10" xfId="0" applyFont="1" applyFill="1" applyBorder="1" applyAlignment="1">
      <alignment horizontal="left"/>
    </xf>
    <xf numFmtId="0" fontId="19" fillId="35" borderId="10" xfId="0" applyFont="1" applyFill="1" applyBorder="1" applyAlignment="1">
      <alignment horizontal="left"/>
    </xf>
    <xf numFmtId="0" fontId="25" fillId="28" borderId="10" xfId="0" applyFont="1" applyFill="1" applyBorder="1" applyAlignment="1">
      <alignment horizontal="left" vertical="center" wrapText="1"/>
    </xf>
    <xf numFmtId="0" fontId="19" fillId="35" borderId="13" xfId="0" applyFont="1" applyFill="1" applyBorder="1" applyAlignment="1">
      <alignment horizontal="left" vertical="center" wrapText="1"/>
    </xf>
    <xf numFmtId="0" fontId="19" fillId="35" borderId="14" xfId="0" applyFont="1" applyFill="1" applyBorder="1" applyAlignment="1">
      <alignment horizontal="left" vertical="center" wrapText="1"/>
    </xf>
    <xf numFmtId="0" fontId="19" fillId="35" borderId="12" xfId="0" applyFont="1" applyFill="1" applyBorder="1" applyAlignment="1">
      <alignment horizontal="left" vertical="center" wrapText="1"/>
    </xf>
    <xf numFmtId="39" fontId="19" fillId="32" borderId="10" xfId="0" applyNumberFormat="1" applyFont="1" applyFill="1" applyBorder="1" applyAlignment="1" applyProtection="1">
      <alignment horizontal="left" vertical="center" wrapText="1"/>
      <protection locked="0"/>
    </xf>
    <xf numFmtId="0" fontId="31" fillId="25" borderId="0" xfId="0" applyFont="1" applyFill="1" applyAlignment="1">
      <alignment horizontal="left" wrapText="1"/>
    </xf>
    <xf numFmtId="39" fontId="19" fillId="32" borderId="13" xfId="0" applyNumberFormat="1" applyFont="1" applyFill="1" applyBorder="1" applyAlignment="1" applyProtection="1">
      <alignment horizontal="left" vertical="center" wrapText="1"/>
      <protection locked="0"/>
    </xf>
    <xf numFmtId="39" fontId="19" fillId="32" borderId="12" xfId="0" applyNumberFormat="1" applyFont="1" applyFill="1" applyBorder="1" applyAlignment="1" applyProtection="1">
      <alignment horizontal="left" vertical="center" wrapText="1"/>
      <protection locked="0"/>
    </xf>
    <xf numFmtId="0" fontId="25" fillId="27" borderId="13" xfId="0" applyFont="1" applyFill="1" applyBorder="1" applyAlignment="1">
      <alignment horizontal="left" vertical="center"/>
    </xf>
    <xf numFmtId="0" fontId="25" fillId="27" borderId="14" xfId="0" applyFont="1" applyFill="1" applyBorder="1" applyAlignment="1">
      <alignment horizontal="left" vertical="center"/>
    </xf>
    <xf numFmtId="0" fontId="25" fillId="27" borderId="12" xfId="0" applyFont="1" applyFill="1" applyBorder="1" applyAlignment="1">
      <alignment horizontal="left" vertical="center"/>
    </xf>
    <xf numFmtId="0" fontId="25" fillId="28" borderId="11" xfId="0" applyFont="1" applyFill="1" applyBorder="1" applyAlignment="1">
      <alignment horizontal="left" vertical="center" wrapText="1"/>
    </xf>
    <xf numFmtId="0" fontId="19" fillId="35" borderId="11" xfId="0" applyFont="1" applyFill="1" applyBorder="1" applyAlignment="1">
      <alignment horizontal="left" vertical="center" wrapText="1"/>
    </xf>
    <xf numFmtId="4" fontId="19" fillId="33" borderId="13" xfId="0" applyNumberFormat="1" applyFont="1" applyFill="1" applyBorder="1" applyAlignment="1" applyProtection="1">
      <alignment horizontal="left" vertical="center" wrapText="1"/>
      <protection locked="0"/>
    </xf>
    <xf numFmtId="4" fontId="19" fillId="33" borderId="14" xfId="0" applyNumberFormat="1" applyFont="1" applyFill="1" applyBorder="1" applyAlignment="1" applyProtection="1">
      <alignment horizontal="left" vertical="center" wrapText="1"/>
      <protection locked="0"/>
    </xf>
    <xf numFmtId="4" fontId="19" fillId="33" borderId="12" xfId="0" applyNumberFormat="1" applyFont="1" applyFill="1" applyBorder="1" applyAlignment="1" applyProtection="1">
      <alignment horizontal="left" vertical="center" wrapText="1"/>
      <protection locked="0"/>
    </xf>
    <xf numFmtId="0" fontId="25" fillId="27" borderId="13" xfId="0" applyFont="1" applyFill="1" applyBorder="1" applyAlignment="1">
      <alignment horizontal="left" vertical="center" wrapText="1"/>
    </xf>
    <xf numFmtId="0" fontId="25" fillId="27" borderId="14" xfId="0" applyFont="1" applyFill="1" applyBorder="1" applyAlignment="1">
      <alignment horizontal="left" vertical="center" wrapText="1"/>
    </xf>
    <xf numFmtId="0" fontId="25" fillId="27" borderId="12" xfId="0" applyFont="1" applyFill="1" applyBorder="1" applyAlignment="1">
      <alignment horizontal="left" vertical="center" wrapText="1"/>
    </xf>
    <xf numFmtId="0" fontId="19" fillId="25" borderId="0" xfId="0" applyFont="1" applyFill="1" applyAlignment="1">
      <alignment horizontal="justify" vertical="center" wrapText="1"/>
    </xf>
    <xf numFmtId="0" fontId="19" fillId="29" borderId="13" xfId="0" applyFont="1" applyFill="1" applyBorder="1" applyAlignment="1">
      <alignment horizontal="left" vertical="center" wrapText="1"/>
    </xf>
    <xf numFmtId="0" fontId="19" fillId="29" borderId="14" xfId="0" applyFont="1" applyFill="1" applyBorder="1" applyAlignment="1">
      <alignment horizontal="left" vertical="center" wrapText="1"/>
    </xf>
    <xf numFmtId="0" fontId="19" fillId="29" borderId="12" xfId="0" applyFont="1" applyFill="1" applyBorder="1" applyAlignment="1">
      <alignment horizontal="left" vertical="center" wrapText="1"/>
    </xf>
    <xf numFmtId="0" fontId="25" fillId="28" borderId="13" xfId="0" applyFont="1" applyFill="1" applyBorder="1" applyAlignment="1">
      <alignment horizontal="left" vertical="center" wrapText="1"/>
    </xf>
    <xf numFmtId="0" fontId="25" fillId="28" borderId="12" xfId="0" applyFont="1" applyFill="1" applyBorder="1" applyAlignment="1">
      <alignment horizontal="left" vertical="center" wrapText="1"/>
    </xf>
    <xf numFmtId="39" fontId="19" fillId="35" borderId="10" xfId="0" applyNumberFormat="1" applyFont="1" applyFill="1" applyBorder="1" applyAlignment="1">
      <alignment horizontal="left" vertical="center" wrapText="1"/>
    </xf>
    <xf numFmtId="0" fontId="20" fillId="30" borderId="13" xfId="0" applyFont="1" applyFill="1" applyBorder="1" applyAlignment="1" applyProtection="1">
      <alignment horizontal="left"/>
      <protection locked="0"/>
    </xf>
    <xf numFmtId="0" fontId="20" fillId="30" borderId="14" xfId="0" applyFont="1" applyFill="1" applyBorder="1" applyAlignment="1" applyProtection="1">
      <alignment horizontal="left"/>
      <protection locked="0"/>
    </xf>
    <xf numFmtId="0" fontId="20" fillId="30" borderId="12" xfId="0" applyFont="1" applyFill="1" applyBorder="1" applyAlignment="1" applyProtection="1">
      <alignment horizontal="left"/>
      <protection locked="0"/>
    </xf>
    <xf numFmtId="0" fontId="27" fillId="25" borderId="0" xfId="0" applyFont="1" applyFill="1" applyAlignment="1">
      <alignment horizontal="center"/>
    </xf>
    <xf numFmtId="0" fontId="19" fillId="36" borderId="10" xfId="0" applyFont="1" applyFill="1" applyBorder="1" applyAlignment="1">
      <alignment horizontal="left"/>
    </xf>
    <xf numFmtId="0" fontId="19" fillId="30" borderId="10" xfId="0" applyFont="1" applyFill="1" applyBorder="1" applyAlignment="1" applyProtection="1">
      <alignment horizontal="center"/>
      <protection locked="0"/>
    </xf>
    <xf numFmtId="49" fontId="19" fillId="30" borderId="13" xfId="0" applyNumberFormat="1" applyFont="1" applyFill="1" applyBorder="1" applyAlignment="1" applyProtection="1">
      <alignment horizontal="center"/>
      <protection locked="0"/>
    </xf>
    <xf numFmtId="49" fontId="19" fillId="30" borderId="12" xfId="0" applyNumberFormat="1" applyFont="1" applyFill="1" applyBorder="1" applyAlignment="1" applyProtection="1">
      <alignment horizontal="center"/>
      <protection locked="0"/>
    </xf>
    <xf numFmtId="0" fontId="19" fillId="31" borderId="10" xfId="0" applyFont="1" applyFill="1" applyBorder="1" applyAlignment="1">
      <alignment horizontal="left"/>
    </xf>
    <xf numFmtId="0" fontId="19" fillId="30" borderId="10" xfId="0" applyFont="1" applyFill="1" applyBorder="1" applyAlignment="1" applyProtection="1">
      <alignment horizontal="right"/>
      <protection locked="0"/>
    </xf>
    <xf numFmtId="0" fontId="19" fillId="30" borderId="10" xfId="0" applyFont="1" applyFill="1" applyBorder="1" applyAlignment="1" applyProtection="1">
      <alignment horizontal="left" vertical="center"/>
      <protection locked="0"/>
    </xf>
    <xf numFmtId="0" fontId="19" fillId="31" borderId="13" xfId="0" applyFont="1" applyFill="1" applyBorder="1" applyAlignment="1">
      <alignment horizontal="left" vertical="center" wrapText="1"/>
    </xf>
    <xf numFmtId="0" fontId="19" fillId="31" borderId="14" xfId="0" applyFont="1" applyFill="1" applyBorder="1" applyAlignment="1">
      <alignment horizontal="left" vertical="center" wrapText="1"/>
    </xf>
    <xf numFmtId="0" fontId="19" fillId="31" borderId="12" xfId="0" applyFont="1" applyFill="1" applyBorder="1" applyAlignment="1">
      <alignment horizontal="left" vertical="center" wrapText="1"/>
    </xf>
    <xf numFmtId="0" fontId="31" fillId="25" borderId="0" xfId="0" applyFont="1" applyFill="1" applyAlignment="1">
      <alignment horizontal="center" vertical="center"/>
    </xf>
    <xf numFmtId="0" fontId="31" fillId="25" borderId="16" xfId="0" applyFont="1" applyFill="1" applyBorder="1" applyAlignment="1">
      <alignment horizontal="center"/>
    </xf>
    <xf numFmtId="39" fontId="19" fillId="29" borderId="10" xfId="0" applyNumberFormat="1" applyFont="1" applyFill="1" applyBorder="1" applyAlignment="1">
      <alignment horizontal="left" vertical="center" wrapText="1"/>
    </xf>
    <xf numFmtId="0" fontId="19" fillId="29" borderId="13" xfId="0" applyFont="1" applyFill="1" applyBorder="1" applyAlignment="1">
      <alignment horizontal="left" vertical="center"/>
    </xf>
    <xf numFmtId="0" fontId="19" fillId="29" borderId="14" xfId="0" applyFont="1" applyFill="1" applyBorder="1" applyAlignment="1">
      <alignment horizontal="left" vertical="center"/>
    </xf>
    <xf numFmtId="0" fontId="19" fillId="29" borderId="12" xfId="0" applyFont="1" applyFill="1" applyBorder="1" applyAlignment="1">
      <alignment horizontal="left" vertical="center"/>
    </xf>
    <xf numFmtId="0" fontId="19" fillId="35" borderId="10" xfId="0" applyFont="1" applyFill="1" applyBorder="1" applyAlignment="1">
      <alignment horizontal="justify" vertical="center"/>
    </xf>
    <xf numFmtId="0" fontId="25" fillId="27" borderId="10" xfId="0" applyFont="1" applyFill="1" applyBorder="1" applyAlignment="1">
      <alignment horizontal="left" vertical="center" wrapText="1"/>
    </xf>
    <xf numFmtId="0" fontId="19" fillId="35" borderId="10" xfId="0" applyFont="1" applyFill="1" applyBorder="1" applyAlignment="1">
      <alignment horizontal="left" vertical="center" wrapText="1"/>
    </xf>
    <xf numFmtId="0" fontId="25" fillId="27" borderId="10" xfId="0" applyFont="1" applyFill="1" applyBorder="1" applyAlignment="1">
      <alignment horizontal="left" vertical="center"/>
    </xf>
    <xf numFmtId="0" fontId="19" fillId="29" borderId="10" xfId="0" applyFont="1" applyFill="1" applyBorder="1" applyAlignment="1">
      <alignment horizontal="left" vertical="center" wrapText="1"/>
    </xf>
    <xf numFmtId="0" fontId="31" fillId="25" borderId="17" xfId="0" applyFont="1" applyFill="1" applyBorder="1" applyAlignment="1">
      <alignment horizontal="left" vertical="center" wrapText="1"/>
    </xf>
    <xf numFmtId="0" fontId="25" fillId="27" borderId="10" xfId="0" applyFont="1" applyFill="1" applyBorder="1" applyAlignment="1">
      <alignment horizontal="justify" vertical="center" wrapText="1"/>
    </xf>
    <xf numFmtId="0" fontId="19" fillId="29" borderId="10" xfId="0" applyFont="1" applyFill="1" applyBorder="1" applyAlignment="1">
      <alignment horizontal="justify" vertical="center"/>
    </xf>
    <xf numFmtId="0" fontId="20" fillId="36" borderId="13" xfId="0" applyFont="1" applyFill="1" applyBorder="1" applyAlignment="1">
      <alignment horizontal="left"/>
    </xf>
    <xf numFmtId="0" fontId="20" fillId="36" borderId="14" xfId="0" applyFont="1" applyFill="1" applyBorder="1" applyAlignment="1">
      <alignment horizontal="left"/>
    </xf>
    <xf numFmtId="0" fontId="20" fillId="36" borderId="12" xfId="0" applyFont="1" applyFill="1" applyBorder="1" applyAlignment="1">
      <alignment horizontal="left"/>
    </xf>
    <xf numFmtId="0" fontId="20" fillId="31" borderId="13" xfId="0" applyFont="1" applyFill="1" applyBorder="1" applyAlignment="1">
      <alignment horizontal="left"/>
    </xf>
    <xf numFmtId="0" fontId="20" fillId="31" borderId="14" xfId="0" applyFont="1" applyFill="1" applyBorder="1" applyAlignment="1">
      <alignment horizontal="left"/>
    </xf>
    <xf numFmtId="0" fontId="20" fillId="31" borderId="12" xfId="0" applyFont="1" applyFill="1" applyBorder="1" applyAlignment="1">
      <alignment horizontal="left"/>
    </xf>
    <xf numFmtId="0" fontId="19" fillId="36" borderId="10" xfId="0" applyFont="1" applyFill="1" applyBorder="1" applyAlignment="1">
      <alignment horizontal="center"/>
    </xf>
    <xf numFmtId="0" fontId="19" fillId="31" borderId="10" xfId="0" applyFont="1" applyFill="1" applyBorder="1" applyAlignment="1">
      <alignment horizontal="right"/>
    </xf>
    <xf numFmtId="0" fontId="33" fillId="0" borderId="0" xfId="0" applyFont="1" applyAlignment="1">
      <alignment horizontal="center"/>
    </xf>
    <xf numFmtId="0" fontId="19" fillId="31" borderId="10" xfId="0" applyFont="1" applyFill="1" applyBorder="1" applyAlignment="1">
      <alignment horizontal="left" vertical="center"/>
    </xf>
    <xf numFmtId="39" fontId="19" fillId="29" borderId="13" xfId="0" applyNumberFormat="1" applyFont="1" applyFill="1" applyBorder="1" applyAlignment="1">
      <alignment horizontal="left" vertical="center" wrapText="1"/>
    </xf>
    <xf numFmtId="39" fontId="19" fillId="29" borderId="14" xfId="0" applyNumberFormat="1" applyFont="1" applyFill="1" applyBorder="1" applyAlignment="1">
      <alignment horizontal="left" vertical="center" wrapText="1"/>
    </xf>
    <xf numFmtId="39" fontId="19" fillId="29" borderId="12" xfId="0" applyNumberFormat="1" applyFont="1" applyFill="1" applyBorder="1" applyAlignment="1">
      <alignment horizontal="left" vertical="center" wrapText="1"/>
    </xf>
    <xf numFmtId="0" fontId="19" fillId="36" borderId="10" xfId="0" applyFont="1" applyFill="1" applyBorder="1" applyAlignment="1">
      <alignment horizontal="left" vertical="center"/>
    </xf>
    <xf numFmtId="0" fontId="19" fillId="35" borderId="10" xfId="0" applyFont="1" applyFill="1" applyBorder="1" applyAlignment="1">
      <alignment horizontal="center"/>
    </xf>
    <xf numFmtId="0" fontId="19" fillId="29" borderId="10" xfId="0" applyFont="1" applyFill="1" applyBorder="1" applyAlignment="1">
      <alignment horizontal="center"/>
    </xf>
    <xf numFmtId="0" fontId="34" fillId="25" borderId="16" xfId="0" applyFont="1" applyFill="1" applyBorder="1" applyAlignment="1">
      <alignment horizontal="center" vertical="center"/>
    </xf>
    <xf numFmtId="0" fontId="25" fillId="34" borderId="10" xfId="0" applyFont="1" applyFill="1" applyBorder="1" applyAlignment="1">
      <alignment horizontal="left" vertical="center" wrapText="1"/>
    </xf>
    <xf numFmtId="0" fontId="31" fillId="25" borderId="0" xfId="0" applyFont="1" applyFill="1" applyAlignment="1">
      <alignment horizontal="justify" vertical="center" wrapText="1"/>
    </xf>
    <xf numFmtId="39" fontId="19" fillId="35" borderId="13" xfId="0" applyNumberFormat="1" applyFont="1" applyFill="1" applyBorder="1" applyAlignment="1">
      <alignment horizontal="left" vertical="center" wrapText="1"/>
    </xf>
    <xf numFmtId="39" fontId="19" fillId="35" borderId="14" xfId="0" applyNumberFormat="1" applyFont="1" applyFill="1" applyBorder="1" applyAlignment="1">
      <alignment horizontal="left" vertical="center" wrapText="1"/>
    </xf>
    <xf numFmtId="39" fontId="19" fillId="35" borderId="12" xfId="0" applyNumberFormat="1" applyFont="1" applyFill="1" applyBorder="1" applyAlignment="1">
      <alignment horizontal="left" vertical="center" wrapText="1"/>
    </xf>
    <xf numFmtId="0" fontId="25" fillId="34" borderId="11" xfId="0" applyFont="1" applyFill="1" applyBorder="1" applyAlignment="1">
      <alignment horizontal="left" vertical="center" wrapText="1"/>
    </xf>
    <xf numFmtId="4" fontId="19" fillId="29" borderId="10" xfId="0" applyNumberFormat="1" applyFont="1" applyFill="1" applyBorder="1" applyAlignment="1">
      <alignment horizontal="left" vertical="center" wrapText="1"/>
    </xf>
    <xf numFmtId="4" fontId="19" fillId="29" borderId="11" xfId="0" applyNumberFormat="1" applyFont="1" applyFill="1" applyBorder="1" applyAlignment="1">
      <alignment horizontal="left" vertical="center" wrapText="1"/>
    </xf>
    <xf numFmtId="0" fontId="19" fillId="29" borderId="11" xfId="0" applyFont="1" applyFill="1" applyBorder="1" applyAlignment="1">
      <alignment horizontal="left" vertical="center" wrapText="1"/>
    </xf>
    <xf numFmtId="0" fontId="24" fillId="29" borderId="10" xfId="0" applyFont="1" applyFill="1" applyBorder="1" applyAlignment="1">
      <alignment horizontal="left" vertical="center" wrapText="1" indent="1"/>
    </xf>
    <xf numFmtId="0" fontId="24" fillId="35" borderId="10" xfId="0" applyFont="1" applyFill="1" applyBorder="1" applyAlignment="1">
      <alignment horizontal="left" vertical="center" wrapText="1" indent="1"/>
    </xf>
    <xf numFmtId="4" fontId="19" fillId="35" borderId="10" xfId="0" applyNumberFormat="1" applyFont="1" applyFill="1" applyBorder="1" applyAlignment="1">
      <alignment horizontal="center"/>
    </xf>
    <xf numFmtId="0" fontId="25" fillId="28" borderId="19" xfId="0" applyFont="1" applyFill="1" applyBorder="1" applyAlignment="1">
      <alignment horizontal="center" vertical="center" wrapText="1"/>
    </xf>
    <xf numFmtId="0" fontId="25" fillId="28" borderId="20" xfId="0" applyFont="1" applyFill="1" applyBorder="1" applyAlignment="1">
      <alignment horizontal="center" vertical="center" wrapText="1"/>
    </xf>
    <xf numFmtId="0" fontId="25" fillId="28" borderId="21" xfId="0" applyFont="1" applyFill="1" applyBorder="1" applyAlignment="1">
      <alignment horizontal="center" vertical="center" wrapText="1"/>
    </xf>
    <xf numFmtId="0" fontId="25" fillId="28" borderId="22" xfId="0" applyFont="1" applyFill="1" applyBorder="1" applyAlignment="1">
      <alignment horizontal="center" vertical="center" wrapText="1"/>
    </xf>
    <xf numFmtId="0" fontId="25" fillId="28" borderId="18" xfId="0" applyFont="1" applyFill="1" applyBorder="1" applyAlignment="1">
      <alignment horizontal="center" vertical="center" wrapText="1"/>
    </xf>
    <xf numFmtId="0" fontId="25" fillId="28" borderId="15" xfId="0" applyFont="1" applyFill="1" applyBorder="1" applyAlignment="1">
      <alignment horizontal="center" vertical="center" wrapText="1"/>
    </xf>
    <xf numFmtId="0" fontId="25" fillId="28" borderId="13" xfId="0" applyFont="1" applyFill="1" applyBorder="1" applyAlignment="1">
      <alignment horizontal="center" vertical="center" wrapText="1"/>
    </xf>
    <xf numFmtId="0" fontId="25" fillId="28" borderId="12" xfId="0" applyFont="1" applyFill="1" applyBorder="1" applyAlignment="1">
      <alignment horizontal="center" vertical="center" wrapText="1"/>
    </xf>
    <xf numFmtId="49" fontId="19" fillId="35" borderId="15" xfId="0" applyNumberFormat="1" applyFont="1" applyFill="1" applyBorder="1" applyAlignment="1">
      <alignment horizontal="left"/>
    </xf>
    <xf numFmtId="0" fontId="19" fillId="35" borderId="15" xfId="0" applyFont="1" applyFill="1" applyBorder="1" applyAlignment="1">
      <alignment horizontal="left"/>
    </xf>
    <xf numFmtId="0" fontId="32" fillId="25" borderId="16" xfId="0" applyFont="1" applyFill="1" applyBorder="1" applyAlignment="1">
      <alignment horizontal="center"/>
    </xf>
    <xf numFmtId="0" fontId="0" fillId="0" borderId="17" xfId="0" applyBorder="1" applyAlignment="1">
      <alignment horizontal="center"/>
    </xf>
    <xf numFmtId="0" fontId="19" fillId="35" borderId="18" xfId="0" applyFont="1" applyFill="1" applyBorder="1" applyAlignment="1">
      <alignment horizontal="left" vertical="center"/>
    </xf>
    <xf numFmtId="0" fontId="19" fillId="35" borderId="15" xfId="0" applyFont="1" applyFill="1" applyBorder="1" applyAlignment="1">
      <alignment horizontal="left" vertical="center"/>
    </xf>
    <xf numFmtId="0" fontId="25" fillId="28" borderId="23" xfId="0" applyFont="1" applyFill="1" applyBorder="1" applyAlignment="1">
      <alignment horizontal="center" vertical="center" wrapText="1"/>
    </xf>
    <xf numFmtId="0" fontId="31" fillId="25" borderId="16" xfId="0" applyFont="1" applyFill="1" applyBorder="1" applyAlignment="1">
      <alignment horizontal="left"/>
    </xf>
  </cellXfs>
  <cellStyles count="44">
    <cellStyle name="20% - Ênfase1" xfId="1" builtinId="30" customBuiltin="1"/>
    <cellStyle name="20% - Ênfase2" xfId="2" builtinId="34" customBuiltin="1"/>
    <cellStyle name="20% - Ênfase3" xfId="3" builtinId="38" customBuiltin="1"/>
    <cellStyle name="20% - Ênfase4" xfId="4" builtinId="42" customBuiltin="1"/>
    <cellStyle name="20% - Ênfase5" xfId="5" builtinId="46" customBuiltin="1"/>
    <cellStyle name="20% - Ênfase6" xfId="6" builtinId="50" customBuiltin="1"/>
    <cellStyle name="40% - Ênfase1" xfId="7" builtinId="31" customBuiltin="1"/>
    <cellStyle name="40% - Ênfase2" xfId="8" builtinId="35" customBuiltin="1"/>
    <cellStyle name="40% - Ênfase3" xfId="9" builtinId="39" customBuiltin="1"/>
    <cellStyle name="40% - Ênfase4" xfId="10" builtinId="43" customBuiltin="1"/>
    <cellStyle name="40% - Ênfase5" xfId="11" builtinId="47" customBuiltin="1"/>
    <cellStyle name="40% - Ênfase6" xfId="12" builtinId="51" customBuiltin="1"/>
    <cellStyle name="60% - Ênfase1" xfId="13" builtinId="32" customBuiltin="1"/>
    <cellStyle name="60% - Ênfase2" xfId="14" builtinId="36" customBuiltin="1"/>
    <cellStyle name="60% - Ênfase3" xfId="15" builtinId="40" customBuiltin="1"/>
    <cellStyle name="60% - Ênfase4" xfId="16" builtinId="44" customBuiltin="1"/>
    <cellStyle name="60% - Ênfase5" xfId="17" builtinId="48" customBuiltin="1"/>
    <cellStyle name="60% - Ênfase6" xfId="18" builtinId="52" customBuiltin="1"/>
    <cellStyle name="Bom" xfId="19" builtinId="26" customBuiltin="1"/>
    <cellStyle name="Cálculo" xfId="20" builtinId="22" customBuiltin="1"/>
    <cellStyle name="Célula de Verificação" xfId="21" builtinId="23" customBuiltin="1"/>
    <cellStyle name="Célula Vinculada" xfId="22" builtinId="24" customBuiltin="1"/>
    <cellStyle name="Ênfase1" xfId="23" builtinId="29" customBuiltin="1"/>
    <cellStyle name="Ênfase2" xfId="24" builtinId="33" customBuiltin="1"/>
    <cellStyle name="Ênfase3" xfId="25" builtinId="37" customBuiltin="1"/>
    <cellStyle name="Ênfase4" xfId="26" builtinId="41" customBuiltin="1"/>
    <cellStyle name="Ênfase5" xfId="27" builtinId="45" customBuiltin="1"/>
    <cellStyle name="Ênfase6" xfId="28" builtinId="49" customBuiltin="1"/>
    <cellStyle name="Entrada" xfId="29" builtinId="20" customBuiltin="1"/>
    <cellStyle name="Moeda" xfId="43" builtinId="4"/>
    <cellStyle name="Neutro" xfId="31" builtinId="28" customBuiltin="1"/>
    <cellStyle name="Normal" xfId="0" builtinId="0"/>
    <cellStyle name="Nota" xfId="32" builtinId="10" customBuiltin="1"/>
    <cellStyle name="Ruim" xfId="30" builtinId="27" customBuiltin="1"/>
    <cellStyle name="Saída" xfId="33" builtinId="21" customBuiltin="1"/>
    <cellStyle name="Texto de Aviso" xfId="34" builtinId="11" customBuiltin="1"/>
    <cellStyle name="Texto Explicativo" xfId="35" builtinId="53" customBuiltin="1"/>
    <cellStyle name="Título 1" xfId="36" builtinId="16" customBuiltin="1"/>
    <cellStyle name="Título 1 1" xfId="37" xr:uid="{00000000-0005-0000-0000-000025000000}"/>
    <cellStyle name="Título 1 1 1" xfId="38" xr:uid="{00000000-0005-0000-0000-000026000000}"/>
    <cellStyle name="Título 2" xfId="39" builtinId="17" customBuiltin="1"/>
    <cellStyle name="Título 3" xfId="40" builtinId="18" customBuiltin="1"/>
    <cellStyle name="Título 4" xfId="41" builtinId="19" customBuiltin="1"/>
    <cellStyle name="Total" xfId="42" builtinId="25"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G65"/>
  <sheetViews>
    <sheetView tabSelected="1" view="pageBreakPreview" topLeftCell="A18" zoomScaleNormal="100" zoomScaleSheetLayoutView="100" workbookViewId="0">
      <selection activeCell="B27" sqref="B27"/>
    </sheetView>
  </sheetViews>
  <sheetFormatPr defaultColWidth="9.140625" defaultRowHeight="16.5" x14ac:dyDescent="0.3"/>
  <cols>
    <col min="1" max="1" width="2.7109375" style="7" customWidth="1"/>
    <col min="2" max="2" width="8.85546875" style="7" customWidth="1"/>
    <col min="3" max="3" width="52.5703125" style="12" customWidth="1"/>
    <col min="4" max="4" width="9.5703125" style="12" customWidth="1"/>
    <col min="5" max="5" width="13.5703125" style="12" customWidth="1"/>
    <col min="6" max="6" width="15.42578125" style="12" bestFit="1" customWidth="1"/>
    <col min="7" max="7" width="36.7109375" style="7" customWidth="1"/>
    <col min="8" max="16384" width="9.140625" style="7"/>
  </cols>
  <sheetData>
    <row r="1" spans="2:6" ht="20.25" x14ac:dyDescent="0.35">
      <c r="B1" s="163" t="s">
        <v>127</v>
      </c>
      <c r="C1" s="164"/>
      <c r="D1" s="164"/>
      <c r="E1" s="164"/>
      <c r="F1" s="165"/>
    </row>
    <row r="2" spans="2:6" ht="20.25" x14ac:dyDescent="0.35">
      <c r="B2" s="163" t="s">
        <v>128</v>
      </c>
      <c r="C2" s="164"/>
      <c r="D2" s="165"/>
      <c r="E2" s="98" t="s">
        <v>48</v>
      </c>
      <c r="F2" s="68" t="s">
        <v>129</v>
      </c>
    </row>
    <row r="3" spans="2:6" x14ac:dyDescent="0.3">
      <c r="B3" s="76"/>
      <c r="C3" s="76"/>
      <c r="D3" s="76"/>
      <c r="E3" s="76"/>
      <c r="F3" s="76"/>
    </row>
    <row r="4" spans="2:6" s="76" customFormat="1" ht="25.5" x14ac:dyDescent="0.5">
      <c r="B4" s="166" t="s">
        <v>139</v>
      </c>
      <c r="C4" s="166"/>
      <c r="D4" s="166"/>
      <c r="E4" s="166"/>
      <c r="F4" s="166"/>
    </row>
    <row r="5" spans="2:6" s="76" customFormat="1" ht="15.95" customHeight="1" x14ac:dyDescent="0.3">
      <c r="B5" s="133" t="s">
        <v>81</v>
      </c>
      <c r="C5" s="133"/>
      <c r="D5" s="133"/>
      <c r="E5" s="133"/>
      <c r="F5" s="133"/>
    </row>
    <row r="6" spans="2:6" s="76" customFormat="1" ht="15.95" customHeight="1" x14ac:dyDescent="0.3">
      <c r="B6" s="167" t="s">
        <v>27</v>
      </c>
      <c r="C6" s="167"/>
      <c r="D6" s="168" t="s">
        <v>132</v>
      </c>
      <c r="E6" s="168"/>
      <c r="F6" s="168"/>
    </row>
    <row r="7" spans="2:6" s="76" customFormat="1" ht="15.75" customHeight="1" x14ac:dyDescent="0.3">
      <c r="B7" s="171" t="s">
        <v>28</v>
      </c>
      <c r="C7" s="171"/>
      <c r="D7" s="172" t="s">
        <v>29</v>
      </c>
      <c r="E7" s="172"/>
      <c r="F7" s="17" t="s">
        <v>130</v>
      </c>
    </row>
    <row r="8" spans="2:6" s="76" customFormat="1" ht="15.75" customHeight="1" x14ac:dyDescent="0.3">
      <c r="B8" s="167" t="s">
        <v>95</v>
      </c>
      <c r="C8" s="167"/>
      <c r="D8" s="169" t="s">
        <v>129</v>
      </c>
      <c r="E8" s="170"/>
      <c r="F8" s="17" t="s">
        <v>131</v>
      </c>
    </row>
    <row r="9" spans="2:6" s="76" customFormat="1" ht="9.75" customHeight="1" x14ac:dyDescent="0.3">
      <c r="C9" s="5"/>
      <c r="D9" s="88"/>
      <c r="E9" s="88"/>
      <c r="F9" s="89"/>
    </row>
    <row r="10" spans="2:6" s="76" customFormat="1" ht="15.75" customHeight="1" x14ac:dyDescent="0.3">
      <c r="B10" s="133" t="s">
        <v>94</v>
      </c>
      <c r="C10" s="133"/>
      <c r="D10" s="133"/>
      <c r="E10" s="133"/>
      <c r="F10" s="133"/>
    </row>
    <row r="11" spans="2:6" s="76" customFormat="1" ht="18" customHeight="1" x14ac:dyDescent="0.3">
      <c r="B11" s="18" t="s">
        <v>2</v>
      </c>
      <c r="C11" s="167" t="s">
        <v>54</v>
      </c>
      <c r="D11" s="167"/>
      <c r="E11" s="167"/>
      <c r="F11" s="19" t="s">
        <v>129</v>
      </c>
    </row>
    <row r="12" spans="2:6" s="76" customFormat="1" ht="15.95" customHeight="1" x14ac:dyDescent="0.15">
      <c r="B12" s="1" t="s">
        <v>3</v>
      </c>
      <c r="C12" s="56" t="s">
        <v>30</v>
      </c>
      <c r="D12" s="173"/>
      <c r="E12" s="173"/>
      <c r="F12" s="173"/>
    </row>
    <row r="13" spans="2:6" s="76" customFormat="1" ht="15.95" customHeight="1" x14ac:dyDescent="0.3">
      <c r="B13" s="18" t="s">
        <v>4</v>
      </c>
      <c r="C13" s="167" t="s">
        <v>125</v>
      </c>
      <c r="D13" s="167"/>
      <c r="E13" s="167"/>
      <c r="F13" s="58"/>
    </row>
    <row r="14" spans="2:6" s="76" customFormat="1" ht="18.75" customHeight="1" x14ac:dyDescent="0.3">
      <c r="B14" s="1" t="s">
        <v>5</v>
      </c>
      <c r="C14" s="174" t="s">
        <v>31</v>
      </c>
      <c r="D14" s="175"/>
      <c r="E14" s="176"/>
      <c r="F14" s="17" t="s">
        <v>130</v>
      </c>
    </row>
    <row r="15" spans="2:6" s="76" customFormat="1" ht="15.95" customHeight="1" x14ac:dyDescent="0.3">
      <c r="B15" s="1" t="s">
        <v>6</v>
      </c>
      <c r="C15" s="167" t="s">
        <v>55</v>
      </c>
      <c r="D15" s="167"/>
      <c r="E15" s="167"/>
      <c r="F15" s="54">
        <v>12</v>
      </c>
    </row>
    <row r="16" spans="2:6" s="76" customFormat="1" ht="15.95" customHeight="1" x14ac:dyDescent="0.3">
      <c r="C16" s="5"/>
      <c r="D16" s="88"/>
      <c r="E16" s="88"/>
      <c r="F16" s="89"/>
    </row>
    <row r="17" spans="2:7" s="76" customFormat="1" x14ac:dyDescent="0.3">
      <c r="B17" s="133" t="s">
        <v>231</v>
      </c>
      <c r="C17" s="133"/>
      <c r="D17" s="133"/>
      <c r="E17" s="133"/>
      <c r="F17" s="133"/>
    </row>
    <row r="18" spans="2:7" s="90" customFormat="1" ht="49.5" x14ac:dyDescent="0.2">
      <c r="B18" s="70" t="s">
        <v>126</v>
      </c>
      <c r="C18" s="70" t="s">
        <v>24</v>
      </c>
      <c r="D18" s="55" t="s">
        <v>96</v>
      </c>
      <c r="E18" s="55" t="s">
        <v>140</v>
      </c>
      <c r="F18" s="55" t="s">
        <v>97</v>
      </c>
    </row>
    <row r="19" spans="2:7" s="76" customFormat="1" ht="16.5" customHeight="1" x14ac:dyDescent="0.3">
      <c r="B19" s="18">
        <v>1</v>
      </c>
      <c r="C19" s="97" t="s">
        <v>216</v>
      </c>
      <c r="D19" s="72" t="s">
        <v>210</v>
      </c>
      <c r="E19" s="94">
        <v>1</v>
      </c>
      <c r="F19" s="72">
        <v>5</v>
      </c>
    </row>
    <row r="20" spans="2:7" s="76" customFormat="1" ht="15.95" customHeight="1" x14ac:dyDescent="0.3">
      <c r="B20" s="11"/>
      <c r="C20" s="11"/>
      <c r="D20" s="11"/>
      <c r="E20" s="11"/>
      <c r="F20" s="11"/>
    </row>
    <row r="21" spans="2:7" s="76" customFormat="1" ht="15" customHeight="1" x14ac:dyDescent="0.3">
      <c r="B21" s="133" t="s">
        <v>98</v>
      </c>
      <c r="C21" s="133"/>
      <c r="D21" s="133"/>
      <c r="E21" s="133"/>
      <c r="F21" s="133"/>
    </row>
    <row r="22" spans="2:7" s="76" customFormat="1" ht="15" customHeight="1" x14ac:dyDescent="0.3">
      <c r="B22" s="18">
        <v>1</v>
      </c>
      <c r="C22" s="95" t="s">
        <v>50</v>
      </c>
      <c r="D22" s="134"/>
      <c r="E22" s="134"/>
      <c r="F22" s="134"/>
    </row>
    <row r="23" spans="2:7" s="76" customFormat="1" ht="15.95" customHeight="1" x14ac:dyDescent="0.3">
      <c r="B23" s="18">
        <v>2</v>
      </c>
      <c r="C23" s="20" t="s">
        <v>52</v>
      </c>
      <c r="D23" s="134"/>
      <c r="E23" s="134"/>
      <c r="F23" s="134"/>
    </row>
    <row r="24" spans="2:7" s="76" customFormat="1" ht="15.95" customHeight="1" x14ac:dyDescent="0.3">
      <c r="B24" s="18">
        <v>3</v>
      </c>
      <c r="C24" s="136" t="s">
        <v>53</v>
      </c>
      <c r="D24" s="136"/>
      <c r="E24" s="136"/>
      <c r="F24" s="19" t="s">
        <v>129</v>
      </c>
    </row>
    <row r="25" spans="2:7" s="76" customFormat="1" ht="15.95" customHeight="1" x14ac:dyDescent="0.3">
      <c r="B25" s="18">
        <v>4</v>
      </c>
      <c r="C25" s="135" t="s">
        <v>119</v>
      </c>
      <c r="D25" s="135"/>
      <c r="E25" s="135"/>
      <c r="F25" s="57"/>
    </row>
    <row r="26" spans="2:7" s="76" customFormat="1" x14ac:dyDescent="0.3">
      <c r="B26" s="21"/>
      <c r="C26" s="22"/>
      <c r="D26" s="22"/>
      <c r="E26" s="22"/>
      <c r="F26" s="91"/>
    </row>
    <row r="27" spans="2:7" s="76" customFormat="1" ht="25.5" x14ac:dyDescent="0.5">
      <c r="B27" s="92" t="s">
        <v>135</v>
      </c>
      <c r="C27" s="7"/>
      <c r="D27" s="7"/>
      <c r="E27" s="7"/>
      <c r="F27" s="7"/>
    </row>
    <row r="28" spans="2:7" x14ac:dyDescent="0.3">
      <c r="B28" s="235" t="s">
        <v>8</v>
      </c>
      <c r="C28" s="235"/>
      <c r="D28" s="235"/>
      <c r="E28" s="235"/>
      <c r="F28" s="235"/>
    </row>
    <row r="29" spans="2:7" x14ac:dyDescent="0.3">
      <c r="B29" s="1">
        <v>1</v>
      </c>
      <c r="C29" s="137" t="s">
        <v>9</v>
      </c>
      <c r="D29" s="137"/>
      <c r="E29" s="137"/>
      <c r="F29" s="3" t="s">
        <v>103</v>
      </c>
      <c r="G29" s="3" t="s">
        <v>229</v>
      </c>
    </row>
    <row r="30" spans="2:7" ht="33" x14ac:dyDescent="0.3">
      <c r="B30" s="1" t="s">
        <v>221</v>
      </c>
      <c r="C30" s="162" t="s">
        <v>76</v>
      </c>
      <c r="D30" s="162"/>
      <c r="E30" s="162"/>
      <c r="F30" s="117"/>
      <c r="G30" s="126" t="s">
        <v>225</v>
      </c>
    </row>
    <row r="31" spans="2:7" ht="33" x14ac:dyDescent="0.3">
      <c r="B31" s="1" t="s">
        <v>223</v>
      </c>
      <c r="C31" s="141" t="s">
        <v>219</v>
      </c>
      <c r="D31" s="141"/>
      <c r="E31" s="141"/>
      <c r="F31" s="65"/>
      <c r="G31" s="126" t="s">
        <v>225</v>
      </c>
    </row>
    <row r="32" spans="2:7" ht="33" x14ac:dyDescent="0.3">
      <c r="B32" s="1" t="s">
        <v>222</v>
      </c>
      <c r="C32" s="162" t="s">
        <v>76</v>
      </c>
      <c r="D32" s="162"/>
      <c r="E32" s="162"/>
      <c r="F32" s="117"/>
      <c r="G32" s="126" t="s">
        <v>226</v>
      </c>
    </row>
    <row r="33" spans="1:7" ht="33" x14ac:dyDescent="0.3">
      <c r="B33" s="1" t="s">
        <v>224</v>
      </c>
      <c r="C33" s="141" t="s">
        <v>219</v>
      </c>
      <c r="D33" s="141"/>
      <c r="E33" s="141"/>
      <c r="F33" s="65"/>
      <c r="G33" s="126" t="s">
        <v>226</v>
      </c>
    </row>
    <row r="34" spans="1:7" ht="33" x14ac:dyDescent="0.3">
      <c r="B34" s="1" t="s">
        <v>67</v>
      </c>
      <c r="C34" s="162" t="s">
        <v>76</v>
      </c>
      <c r="D34" s="162"/>
      <c r="E34" s="162"/>
      <c r="F34" s="117"/>
      <c r="G34" s="126" t="s">
        <v>227</v>
      </c>
    </row>
    <row r="35" spans="1:7" ht="33" x14ac:dyDescent="0.3">
      <c r="B35" s="1" t="s">
        <v>68</v>
      </c>
      <c r="C35" s="141" t="s">
        <v>219</v>
      </c>
      <c r="D35" s="141"/>
      <c r="E35" s="141"/>
      <c r="F35" s="65"/>
      <c r="G35" s="126" t="s">
        <v>227</v>
      </c>
    </row>
    <row r="36" spans="1:7" s="83" customFormat="1" x14ac:dyDescent="0.3"/>
    <row r="37" spans="1:7" s="83" customFormat="1" x14ac:dyDescent="0.3">
      <c r="A37" s="7"/>
      <c r="B37" s="43" t="s">
        <v>56</v>
      </c>
      <c r="C37" s="12"/>
      <c r="D37" s="12"/>
      <c r="E37" s="14"/>
      <c r="F37" s="14"/>
    </row>
    <row r="38" spans="1:7" s="83" customFormat="1" x14ac:dyDescent="0.3">
      <c r="A38" s="7"/>
      <c r="B38" s="43" t="s">
        <v>61</v>
      </c>
      <c r="C38" s="76"/>
      <c r="D38" s="76"/>
      <c r="E38" s="76"/>
      <c r="F38" s="76"/>
    </row>
    <row r="39" spans="1:7" s="83" customFormat="1" ht="15" customHeight="1" x14ac:dyDescent="0.3">
      <c r="A39" s="7"/>
      <c r="B39" s="1" t="s">
        <v>75</v>
      </c>
      <c r="C39" s="160" t="s">
        <v>14</v>
      </c>
      <c r="D39" s="161"/>
      <c r="E39" s="3" t="s">
        <v>32</v>
      </c>
      <c r="F39" s="3" t="s">
        <v>104</v>
      </c>
    </row>
    <row r="40" spans="1:7" s="83" customFormat="1" x14ac:dyDescent="0.3">
      <c r="A40" s="7"/>
      <c r="B40" s="71" t="s">
        <v>2</v>
      </c>
      <c r="C40" s="136" t="s">
        <v>15</v>
      </c>
      <c r="D40" s="136"/>
      <c r="E40" s="54" t="s">
        <v>33</v>
      </c>
      <c r="F40" s="125"/>
    </row>
    <row r="41" spans="1:7" s="83" customFormat="1" x14ac:dyDescent="0.3">
      <c r="B41" s="71" t="s">
        <v>3</v>
      </c>
      <c r="C41" s="135" t="s">
        <v>60</v>
      </c>
      <c r="D41" s="135"/>
      <c r="E41" s="23" t="s">
        <v>33</v>
      </c>
      <c r="F41" s="125"/>
    </row>
    <row r="42" spans="1:7" s="83" customFormat="1" x14ac:dyDescent="0.3">
      <c r="B42" s="71" t="s">
        <v>4</v>
      </c>
      <c r="C42" s="136" t="s">
        <v>136</v>
      </c>
      <c r="D42" s="136"/>
      <c r="E42" s="54" t="s">
        <v>122</v>
      </c>
      <c r="F42" s="132"/>
    </row>
    <row r="43" spans="1:7" x14ac:dyDescent="0.3">
      <c r="B43" s="71" t="s">
        <v>5</v>
      </c>
      <c r="C43" s="143" t="s">
        <v>220</v>
      </c>
      <c r="D43" s="144"/>
      <c r="E43" s="69"/>
      <c r="F43" s="65"/>
    </row>
    <row r="44" spans="1:7" s="83" customFormat="1" x14ac:dyDescent="0.3"/>
    <row r="45" spans="1:7" s="76" customFormat="1" x14ac:dyDescent="0.3">
      <c r="B45" s="43" t="s">
        <v>63</v>
      </c>
      <c r="C45" s="6"/>
      <c r="D45" s="15"/>
      <c r="E45" s="7"/>
      <c r="F45" s="7"/>
    </row>
    <row r="46" spans="1:7" s="76" customFormat="1" ht="15" customHeight="1" x14ac:dyDescent="0.3">
      <c r="B46" s="43" t="s">
        <v>86</v>
      </c>
      <c r="C46" s="6"/>
      <c r="D46" s="15"/>
      <c r="E46" s="13"/>
      <c r="F46" s="13"/>
    </row>
    <row r="47" spans="1:7" x14ac:dyDescent="0.3">
      <c r="A47" s="76"/>
      <c r="B47" s="1" t="s">
        <v>18</v>
      </c>
      <c r="C47" s="153" t="s">
        <v>87</v>
      </c>
      <c r="D47" s="154"/>
      <c r="E47" s="155"/>
      <c r="F47" s="3" t="s">
        <v>1</v>
      </c>
    </row>
    <row r="48" spans="1:7" s="83" customFormat="1" x14ac:dyDescent="0.3">
      <c r="B48" s="2" t="s">
        <v>2</v>
      </c>
      <c r="C48" s="150" t="s">
        <v>133</v>
      </c>
      <c r="D48" s="151"/>
      <c r="E48" s="152"/>
      <c r="F48" s="66"/>
    </row>
    <row r="49" spans="1:6" x14ac:dyDescent="0.3">
      <c r="B49" s="83"/>
      <c r="C49" s="83"/>
      <c r="D49" s="83"/>
      <c r="E49" s="83"/>
      <c r="F49" s="83"/>
    </row>
    <row r="50" spans="1:6" x14ac:dyDescent="0.3">
      <c r="B50" s="83"/>
      <c r="C50" s="83"/>
      <c r="D50" s="83"/>
      <c r="E50" s="83"/>
      <c r="F50" s="83"/>
    </row>
    <row r="51" spans="1:6" ht="15.75" customHeight="1" x14ac:dyDescent="0.3">
      <c r="B51" s="43" t="s">
        <v>65</v>
      </c>
      <c r="C51" s="6"/>
      <c r="D51" s="6"/>
      <c r="E51" s="13"/>
      <c r="F51" s="13"/>
    </row>
    <row r="52" spans="1:6" x14ac:dyDescent="0.3">
      <c r="B52" s="41">
        <v>5</v>
      </c>
      <c r="C52" s="148" t="s">
        <v>0</v>
      </c>
      <c r="D52" s="148"/>
      <c r="E52" s="148"/>
      <c r="F52" s="42" t="s">
        <v>13</v>
      </c>
    </row>
    <row r="53" spans="1:6" x14ac:dyDescent="0.3">
      <c r="B53" s="37" t="s">
        <v>2</v>
      </c>
      <c r="C53" s="149" t="s">
        <v>16</v>
      </c>
      <c r="D53" s="149"/>
      <c r="E53" s="149"/>
      <c r="F53" s="67">
        <f>'INSERÇÃO DE DADOS (UNIFORMES)'!H24</f>
        <v>0</v>
      </c>
    </row>
    <row r="54" spans="1:6" s="83" customFormat="1" x14ac:dyDescent="0.3">
      <c r="B54" s="37" t="s">
        <v>3</v>
      </c>
      <c r="C54" s="141" t="s">
        <v>71</v>
      </c>
      <c r="D54" s="141"/>
      <c r="E54" s="141"/>
      <c r="F54" s="65"/>
    </row>
    <row r="55" spans="1:6" s="85" customFormat="1" ht="16.5" customHeight="1" x14ac:dyDescent="0.3">
      <c r="A55" s="7"/>
      <c r="B55" s="83"/>
      <c r="C55" s="83"/>
      <c r="D55" s="83"/>
      <c r="E55" s="83"/>
      <c r="F55" s="83"/>
    </row>
    <row r="56" spans="1:6" s="86" customFormat="1" ht="16.5" customHeight="1" x14ac:dyDescent="0.3">
      <c r="A56" s="7"/>
      <c r="B56" s="142" t="s">
        <v>64</v>
      </c>
      <c r="C56" s="142"/>
      <c r="D56" s="142"/>
      <c r="E56" s="142"/>
      <c r="F56" s="142"/>
    </row>
    <row r="57" spans="1:6" s="86" customFormat="1" x14ac:dyDescent="0.3">
      <c r="A57" s="84"/>
      <c r="B57" s="1">
        <v>6</v>
      </c>
      <c r="C57" s="145" t="s">
        <v>19</v>
      </c>
      <c r="D57" s="146"/>
      <c r="E57" s="147"/>
      <c r="F57" s="3" t="s">
        <v>1</v>
      </c>
    </row>
    <row r="58" spans="1:6" s="86" customFormat="1" x14ac:dyDescent="0.3">
      <c r="A58" s="84"/>
      <c r="B58" s="1" t="s">
        <v>2</v>
      </c>
      <c r="C58" s="138" t="s">
        <v>66</v>
      </c>
      <c r="D58" s="139"/>
      <c r="E58" s="140"/>
      <c r="F58" s="127"/>
    </row>
    <row r="59" spans="1:6" s="86" customFormat="1" x14ac:dyDescent="0.3">
      <c r="A59" s="85"/>
      <c r="B59" s="2" t="s">
        <v>3</v>
      </c>
      <c r="C59" s="157" t="s">
        <v>26</v>
      </c>
      <c r="D59" s="158"/>
      <c r="E59" s="159"/>
      <c r="F59" s="127"/>
    </row>
    <row r="60" spans="1:6" x14ac:dyDescent="0.3">
      <c r="B60" s="24" t="s">
        <v>67</v>
      </c>
      <c r="C60" s="138" t="s">
        <v>21</v>
      </c>
      <c r="D60" s="139"/>
      <c r="E60" s="140">
        <f>PERC_PIS</f>
        <v>0</v>
      </c>
      <c r="F60" s="127"/>
    </row>
    <row r="61" spans="1:6" x14ac:dyDescent="0.3">
      <c r="B61" s="24" t="s">
        <v>68</v>
      </c>
      <c r="C61" s="157" t="s">
        <v>22</v>
      </c>
      <c r="D61" s="158"/>
      <c r="E61" s="159">
        <f>PERC_COFINS</f>
        <v>0</v>
      </c>
      <c r="F61" s="127"/>
    </row>
    <row r="62" spans="1:6" s="83" customFormat="1" x14ac:dyDescent="0.3">
      <c r="B62" s="24" t="s">
        <v>69</v>
      </c>
      <c r="C62" s="138" t="s">
        <v>23</v>
      </c>
      <c r="D62" s="139"/>
      <c r="E62" s="140">
        <f>PERC_ISS</f>
        <v>0</v>
      </c>
      <c r="F62" s="127"/>
    </row>
    <row r="63" spans="1:6" x14ac:dyDescent="0.3">
      <c r="B63" s="83"/>
      <c r="C63" s="83"/>
      <c r="D63" s="83"/>
      <c r="E63" s="83"/>
      <c r="F63" s="83"/>
    </row>
    <row r="64" spans="1:6" ht="33.75" customHeight="1" x14ac:dyDescent="0.3">
      <c r="B64" s="26" t="s">
        <v>134</v>
      </c>
      <c r="C64" s="27"/>
      <c r="D64" s="27"/>
      <c r="E64" s="27"/>
      <c r="F64" s="28"/>
    </row>
    <row r="65" spans="2:6" ht="32.25" customHeight="1" x14ac:dyDescent="0.3">
      <c r="B65" s="156" t="s">
        <v>155</v>
      </c>
      <c r="C65" s="156"/>
      <c r="D65" s="156"/>
      <c r="E65" s="156"/>
      <c r="F65" s="156"/>
    </row>
  </sheetData>
  <mergeCells count="48">
    <mergeCell ref="D8:E8"/>
    <mergeCell ref="B17:F17"/>
    <mergeCell ref="B7:C7"/>
    <mergeCell ref="D7:E7"/>
    <mergeCell ref="B10:F10"/>
    <mergeCell ref="C11:E11"/>
    <mergeCell ref="D12:F12"/>
    <mergeCell ref="C14:E14"/>
    <mergeCell ref="B8:C8"/>
    <mergeCell ref="C13:E13"/>
    <mergeCell ref="C15:E15"/>
    <mergeCell ref="B1:F1"/>
    <mergeCell ref="B2:D2"/>
    <mergeCell ref="B4:F4"/>
    <mergeCell ref="B5:F5"/>
    <mergeCell ref="B6:C6"/>
    <mergeCell ref="D6:F6"/>
    <mergeCell ref="C40:D40"/>
    <mergeCell ref="C39:D39"/>
    <mergeCell ref="C41:D41"/>
    <mergeCell ref="C42:D42"/>
    <mergeCell ref="D22:F22"/>
    <mergeCell ref="C31:E31"/>
    <mergeCell ref="C33:E33"/>
    <mergeCell ref="C32:E32"/>
    <mergeCell ref="C30:E30"/>
    <mergeCell ref="C34:E34"/>
    <mergeCell ref="C35:E35"/>
    <mergeCell ref="B28:F28"/>
    <mergeCell ref="B65:F65"/>
    <mergeCell ref="C60:E60"/>
    <mergeCell ref="C62:E62"/>
    <mergeCell ref="C59:E59"/>
    <mergeCell ref="C61:E61"/>
    <mergeCell ref="C58:E58"/>
    <mergeCell ref="C54:E54"/>
    <mergeCell ref="B56:F56"/>
    <mergeCell ref="C43:D43"/>
    <mergeCell ref="C57:E57"/>
    <mergeCell ref="C52:E52"/>
    <mergeCell ref="C53:E53"/>
    <mergeCell ref="C48:E48"/>
    <mergeCell ref="C47:E47"/>
    <mergeCell ref="B21:F21"/>
    <mergeCell ref="D23:F23"/>
    <mergeCell ref="C25:E25"/>
    <mergeCell ref="C24:E24"/>
    <mergeCell ref="C29:E29"/>
  </mergeCells>
  <dataValidations count="7">
    <dataValidation type="whole" allowBlank="1" showInputMessage="1" showErrorMessage="1" errorTitle="Erro na inserção de dados." error="O percentual de ISS deve estar entre 2 e 5%, conforme o inciso I do artigo 8º e o caput do art. 8º-A da Lei Complementar nº 116/2003." sqref="F62" xr:uid="{00000000-0002-0000-0000-000000000000}">
      <formula1>2</formula1>
      <formula2>5</formula2>
    </dataValidation>
    <dataValidation type="whole" errorStyle="warning" operator="equal" allowBlank="1" showInputMessage="1" showErrorMessage="1" errorTitle="Atentar para o percentual." error="Tem certeza que o percentual do Cofins é diferente de 3%, previsto no art. 31 da Lei nº 10.833/2003?" sqref="F61" xr:uid="{00000000-0002-0000-0000-000001000000}">
      <formula1>3</formula1>
    </dataValidation>
    <dataValidation type="decimal" errorStyle="warning" operator="equal" allowBlank="1" showInputMessage="1" showErrorMessage="1" errorTitle="Atentar para o percentual." error="Tem certeza que o percentual do PIS é diferente de 0,65%, previsto no art. 31 da Lei nº 10.833/2003?" sqref="F60" xr:uid="{00000000-0002-0000-0000-000002000000}">
      <formula1>0.65</formula1>
    </dataValidation>
    <dataValidation type="decimal" errorStyle="warning" allowBlank="1" showInputMessage="1" showErrorMessage="1" errorTitle="Erro na inserção de dados." error="O percentual recomendado de lucro é de 5,57%, conforme estudos realizados pela Auditoria Interna do MPU." sqref="F59" xr:uid="{00000000-0002-0000-0000-000003000000}">
      <formula1>0</formula1>
      <formula2>5.57</formula2>
    </dataValidation>
    <dataValidation type="decimal" errorStyle="warning" allowBlank="1" showInputMessage="1" showErrorMessage="1" errorTitle="Erro na inserção de dados." error="O percentual recomendado de custos indiretos é de 4,73%, conforme estudos realizados pela Auditoria Interna do MPU." sqref="F58" xr:uid="{00000000-0002-0000-0000-000004000000}">
      <formula1>0</formula1>
      <formula2>4.73</formula2>
    </dataValidation>
    <dataValidation type="list" allowBlank="1" showInputMessage="1" showErrorMessage="1" errorTitle="Erro na inserção de dados." error="Somente estão previstos 15 dias (intercalados), no caso de postos 12x36 horas, ou 22 dias (úteis), no caso de postos 44 horas." sqref="F42" xr:uid="{00000000-0002-0000-0000-000007000000}">
      <formula1>"15,20,21,22"</formula1>
    </dataValidation>
    <dataValidation type="list" allowBlank="1" showInputMessage="1" showErrorMessage="1" sqref="F13" xr:uid="{00000000-0002-0000-0000-00000A000000}">
      <formula1>"AC,AL,AP,AM,BA,CE,DF,ES,GO,MA,MG,MS,MT,PA,PB,PR,PE,PI,RJ,RN,RO,RR,RS,SC,SP,SE,TO"</formula1>
    </dataValidation>
  </dataValidations>
  <pageMargins left="0.17" right="0.17" top="0.46" bottom="0.33" header="0.31496062000000002" footer="0.31496062000000002"/>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23C1F-773B-4A2B-AD39-6DA399B67F57}">
  <sheetPr>
    <tabColor rgb="FF92D050"/>
  </sheetPr>
  <dimension ref="B1:H24"/>
  <sheetViews>
    <sheetView showGridLines="0" view="pageBreakPreview" topLeftCell="A20" zoomScale="60" zoomScaleNormal="100" workbookViewId="0">
      <selection activeCell="B1" sqref="B1:H24"/>
    </sheetView>
  </sheetViews>
  <sheetFormatPr defaultRowHeight="12.75" x14ac:dyDescent="0.2"/>
  <cols>
    <col min="3" max="3" width="85.5703125" customWidth="1"/>
    <col min="4" max="4" width="12.5703125" customWidth="1"/>
    <col min="5" max="5" width="13.7109375" customWidth="1"/>
    <col min="7" max="7" width="17.5703125" customWidth="1"/>
    <col min="8" max="8" width="17.140625" customWidth="1"/>
  </cols>
  <sheetData>
    <row r="1" spans="2:8" ht="25.5" x14ac:dyDescent="0.5">
      <c r="B1" s="166" t="s">
        <v>168</v>
      </c>
      <c r="C1" s="166"/>
      <c r="D1" s="166"/>
      <c r="E1" s="166"/>
      <c r="F1" s="166"/>
      <c r="G1" s="166"/>
      <c r="H1" s="166"/>
    </row>
    <row r="2" spans="2:8" ht="16.5" x14ac:dyDescent="0.2">
      <c r="B2" s="177" t="s">
        <v>183</v>
      </c>
      <c r="C2" s="177"/>
      <c r="D2" s="177"/>
      <c r="E2" s="177"/>
      <c r="F2" s="177"/>
      <c r="G2" s="177"/>
      <c r="H2" s="177"/>
    </row>
    <row r="3" spans="2:8" ht="16.5" x14ac:dyDescent="0.3">
      <c r="B3" s="178" t="s">
        <v>182</v>
      </c>
      <c r="C3" s="178"/>
      <c r="D3" s="178"/>
      <c r="E3" s="178"/>
      <c r="F3" s="178"/>
      <c r="G3" s="178"/>
      <c r="H3" s="178"/>
    </row>
    <row r="4" spans="2:8" ht="66" x14ac:dyDescent="0.2">
      <c r="B4" s="100" t="s">
        <v>164</v>
      </c>
      <c r="C4" s="100" t="s">
        <v>198</v>
      </c>
      <c r="D4" s="100" t="s">
        <v>169</v>
      </c>
      <c r="E4" s="100" t="s">
        <v>170</v>
      </c>
      <c r="F4" s="100" t="s">
        <v>171</v>
      </c>
      <c r="G4" s="100" t="s">
        <v>172</v>
      </c>
      <c r="H4" s="100" t="s">
        <v>173</v>
      </c>
    </row>
    <row r="5" spans="2:8" ht="250.5" customHeight="1" x14ac:dyDescent="0.2">
      <c r="B5" s="101">
        <v>1</v>
      </c>
      <c r="C5" s="105" t="s">
        <v>185</v>
      </c>
      <c r="D5" s="107" t="s">
        <v>186</v>
      </c>
      <c r="E5" s="128"/>
      <c r="F5" s="101">
        <v>2</v>
      </c>
      <c r="G5" s="108">
        <f>E5*F5</f>
        <v>0</v>
      </c>
      <c r="H5" s="108">
        <f>ROUND(G5/12,2)</f>
        <v>0</v>
      </c>
    </row>
    <row r="6" spans="2:8" ht="99" x14ac:dyDescent="0.2">
      <c r="B6" s="103">
        <v>2</v>
      </c>
      <c r="C6" s="104" t="s">
        <v>187</v>
      </c>
      <c r="D6" s="109" t="s">
        <v>186</v>
      </c>
      <c r="E6" s="129"/>
      <c r="F6" s="103">
        <v>4</v>
      </c>
      <c r="G6" s="110">
        <f>E6*F6</f>
        <v>0</v>
      </c>
      <c r="H6" s="110">
        <f>ROUND(G6/12,2)</f>
        <v>0</v>
      </c>
    </row>
    <row r="7" spans="2:8" ht="33" x14ac:dyDescent="0.2">
      <c r="B7" s="101">
        <v>3</v>
      </c>
      <c r="C7" s="102" t="s">
        <v>188</v>
      </c>
      <c r="D7" s="107" t="s">
        <v>186</v>
      </c>
      <c r="E7" s="128"/>
      <c r="F7" s="101">
        <v>2</v>
      </c>
      <c r="G7" s="108">
        <f t="shared" ref="G7:G10" si="0">E7*F7</f>
        <v>0</v>
      </c>
      <c r="H7" s="108">
        <f t="shared" ref="H7:H10" si="1">ROUND(G7/12,2)</f>
        <v>0</v>
      </c>
    </row>
    <row r="8" spans="2:8" ht="33" x14ac:dyDescent="0.2">
      <c r="B8" s="103">
        <v>4</v>
      </c>
      <c r="C8" s="106" t="s">
        <v>189</v>
      </c>
      <c r="D8" s="111" t="s">
        <v>186</v>
      </c>
      <c r="E8" s="129"/>
      <c r="F8" s="103">
        <v>2</v>
      </c>
      <c r="G8" s="110">
        <f t="shared" si="0"/>
        <v>0</v>
      </c>
      <c r="H8" s="110">
        <f t="shared" si="1"/>
        <v>0</v>
      </c>
    </row>
    <row r="9" spans="2:8" ht="33" x14ac:dyDescent="0.2">
      <c r="B9" s="101">
        <v>5</v>
      </c>
      <c r="C9" s="102" t="s">
        <v>190</v>
      </c>
      <c r="D9" s="107" t="s">
        <v>186</v>
      </c>
      <c r="E9" s="128"/>
      <c r="F9" s="101">
        <v>2</v>
      </c>
      <c r="G9" s="108">
        <f t="shared" si="0"/>
        <v>0</v>
      </c>
      <c r="H9" s="108">
        <f t="shared" si="1"/>
        <v>0</v>
      </c>
    </row>
    <row r="10" spans="2:8" ht="16.5" x14ac:dyDescent="0.2">
      <c r="B10" s="103">
        <v>6</v>
      </c>
      <c r="C10" s="106" t="s">
        <v>191</v>
      </c>
      <c r="D10" s="111" t="s">
        <v>186</v>
      </c>
      <c r="E10" s="129"/>
      <c r="F10" s="103">
        <v>6</v>
      </c>
      <c r="G10" s="110">
        <f t="shared" si="0"/>
        <v>0</v>
      </c>
      <c r="H10" s="110">
        <f t="shared" si="1"/>
        <v>0</v>
      </c>
    </row>
    <row r="11" spans="2:8" ht="16.5" x14ac:dyDescent="0.3">
      <c r="B11" s="145" t="s">
        <v>174</v>
      </c>
      <c r="C11" s="146"/>
      <c r="D11" s="146"/>
      <c r="E11" s="146"/>
      <c r="F11" s="146"/>
      <c r="G11" s="147"/>
      <c r="H11" s="34">
        <f>SUM(H5:H10)</f>
        <v>0</v>
      </c>
    </row>
    <row r="14" spans="2:8" ht="25.5" x14ac:dyDescent="0.5">
      <c r="B14" s="166" t="s">
        <v>168</v>
      </c>
      <c r="C14" s="166"/>
      <c r="D14" s="166"/>
      <c r="E14" s="166"/>
      <c r="F14" s="166"/>
      <c r="G14" s="166"/>
      <c r="H14" s="166"/>
    </row>
    <row r="15" spans="2:8" ht="16.5" x14ac:dyDescent="0.2">
      <c r="B15" s="177" t="s">
        <v>183</v>
      </c>
      <c r="C15" s="177"/>
      <c r="D15" s="177"/>
      <c r="E15" s="177"/>
      <c r="F15" s="177"/>
      <c r="G15" s="177"/>
      <c r="H15" s="177"/>
    </row>
    <row r="16" spans="2:8" ht="16.5" x14ac:dyDescent="0.3">
      <c r="B16" s="178" t="s">
        <v>184</v>
      </c>
      <c r="C16" s="178"/>
      <c r="D16" s="178"/>
      <c r="E16" s="178"/>
      <c r="F16" s="178"/>
      <c r="G16" s="178"/>
      <c r="H16" s="178"/>
    </row>
    <row r="17" spans="2:8" ht="66" x14ac:dyDescent="0.2">
      <c r="B17" s="100" t="s">
        <v>164</v>
      </c>
      <c r="C17" s="100" t="s">
        <v>199</v>
      </c>
      <c r="D17" s="100" t="s">
        <v>169</v>
      </c>
      <c r="E17" s="100" t="s">
        <v>170</v>
      </c>
      <c r="F17" s="100" t="s">
        <v>171</v>
      </c>
      <c r="G17" s="100" t="s">
        <v>172</v>
      </c>
      <c r="H17" s="100" t="s">
        <v>173</v>
      </c>
    </row>
    <row r="18" spans="2:8" ht="247.5" x14ac:dyDescent="0.2">
      <c r="B18" s="101">
        <v>1</v>
      </c>
      <c r="C18" s="105" t="s">
        <v>196</v>
      </c>
      <c r="D18" s="107" t="s">
        <v>186</v>
      </c>
      <c r="E18" s="128"/>
      <c r="F18" s="101">
        <v>2</v>
      </c>
      <c r="G18" s="108">
        <f>E18*F18</f>
        <v>0</v>
      </c>
      <c r="H18" s="108">
        <f>ROUND(G18/12,2)</f>
        <v>0</v>
      </c>
    </row>
    <row r="19" spans="2:8" ht="198" x14ac:dyDescent="0.2">
      <c r="B19" s="103">
        <v>2</v>
      </c>
      <c r="C19" s="104" t="s">
        <v>195</v>
      </c>
      <c r="D19" s="109" t="s">
        <v>186</v>
      </c>
      <c r="E19" s="129"/>
      <c r="F19" s="103">
        <v>2</v>
      </c>
      <c r="G19" s="110">
        <f>E19*F19</f>
        <v>0</v>
      </c>
      <c r="H19" s="110">
        <f>ROUND(G19/12,2)</f>
        <v>0</v>
      </c>
    </row>
    <row r="20" spans="2:8" ht="231" x14ac:dyDescent="0.2">
      <c r="B20" s="101">
        <v>3</v>
      </c>
      <c r="C20" s="105" t="s">
        <v>194</v>
      </c>
      <c r="D20" s="107" t="s">
        <v>186</v>
      </c>
      <c r="E20" s="128"/>
      <c r="F20" s="101">
        <v>4</v>
      </c>
      <c r="G20" s="108">
        <f t="shared" ref="G20:G22" si="2">E20*F20</f>
        <v>0</v>
      </c>
      <c r="H20" s="108">
        <f t="shared" ref="H20:H22" si="3">ROUND(G20/12,2)</f>
        <v>0</v>
      </c>
    </row>
    <row r="21" spans="2:8" ht="66" x14ac:dyDescent="0.2">
      <c r="B21" s="103">
        <v>4</v>
      </c>
      <c r="C21" s="106" t="s">
        <v>193</v>
      </c>
      <c r="D21" s="111" t="s">
        <v>186</v>
      </c>
      <c r="E21" s="129"/>
      <c r="F21" s="103">
        <v>2</v>
      </c>
      <c r="G21" s="110">
        <f t="shared" si="2"/>
        <v>0</v>
      </c>
      <c r="H21" s="110">
        <f t="shared" si="3"/>
        <v>0</v>
      </c>
    </row>
    <row r="22" spans="2:8" ht="33" x14ac:dyDescent="0.2">
      <c r="B22" s="101">
        <v>5</v>
      </c>
      <c r="C22" s="102" t="s">
        <v>192</v>
      </c>
      <c r="D22" s="107" t="s">
        <v>186</v>
      </c>
      <c r="E22" s="128"/>
      <c r="F22" s="101">
        <v>6</v>
      </c>
      <c r="G22" s="108">
        <f t="shared" si="2"/>
        <v>0</v>
      </c>
      <c r="H22" s="108">
        <f t="shared" si="3"/>
        <v>0</v>
      </c>
    </row>
    <row r="23" spans="2:8" ht="16.5" x14ac:dyDescent="0.3">
      <c r="B23" s="145" t="s">
        <v>174</v>
      </c>
      <c r="C23" s="146"/>
      <c r="D23" s="146"/>
      <c r="E23" s="146"/>
      <c r="F23" s="146"/>
      <c r="G23" s="147"/>
      <c r="H23" s="34">
        <f>SUM(H18:H22)</f>
        <v>0</v>
      </c>
    </row>
    <row r="24" spans="2:8" ht="16.5" x14ac:dyDescent="0.3">
      <c r="B24" s="145" t="s">
        <v>197</v>
      </c>
      <c r="C24" s="146"/>
      <c r="D24" s="146"/>
      <c r="E24" s="146"/>
      <c r="F24" s="146"/>
      <c r="G24" s="147"/>
      <c r="H24" s="34">
        <f>ROUND(AVERAGE(H11,H23),2)</f>
        <v>0</v>
      </c>
    </row>
  </sheetData>
  <mergeCells count="9">
    <mergeCell ref="B24:G24"/>
    <mergeCell ref="B23:G23"/>
    <mergeCell ref="B14:H14"/>
    <mergeCell ref="B1:H1"/>
    <mergeCell ref="B2:H2"/>
    <mergeCell ref="B3:H3"/>
    <mergeCell ref="B11:G11"/>
    <mergeCell ref="B15:H15"/>
    <mergeCell ref="B16:H16"/>
  </mergeCells>
  <pageMargins left="0.511811024" right="0.511811024" top="0.78740157499999996" bottom="0.78740157499999996" header="0.31496062000000002" footer="0.31496062000000002"/>
  <pageSetup paperSize="9" scale="56" orientation="portrait" r:id="rId1"/>
  <rowBreaks count="1" manualBreakCount="1">
    <brk id="13" min="1"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8F25C-BCE2-4E04-B9EF-0820717E505A}">
  <sheetPr>
    <tabColor rgb="FF92D050"/>
  </sheetPr>
  <dimension ref="B1:D7"/>
  <sheetViews>
    <sheetView showGridLines="0" view="pageBreakPreview" zoomScaleNormal="100" zoomScaleSheetLayoutView="100" workbookViewId="0">
      <selection activeCell="B1" sqref="B1:D7"/>
    </sheetView>
  </sheetViews>
  <sheetFormatPr defaultRowHeight="12.75" x14ac:dyDescent="0.2"/>
  <cols>
    <col min="3" max="3" width="46.28515625" customWidth="1"/>
    <col min="4" max="4" width="43" customWidth="1"/>
  </cols>
  <sheetData>
    <row r="1" spans="2:4" ht="25.5" x14ac:dyDescent="0.5">
      <c r="B1" s="166" t="s">
        <v>162</v>
      </c>
      <c r="C1" s="166"/>
      <c r="D1" s="166"/>
    </row>
    <row r="2" spans="2:4" ht="16.5" x14ac:dyDescent="0.2">
      <c r="B2" s="177" t="s">
        <v>163</v>
      </c>
      <c r="C2" s="177"/>
      <c r="D2" s="177"/>
    </row>
    <row r="3" spans="2:4" ht="16.5" x14ac:dyDescent="0.3">
      <c r="B3" s="178"/>
      <c r="C3" s="178"/>
      <c r="D3" s="178"/>
    </row>
    <row r="4" spans="2:4" ht="33" x14ac:dyDescent="0.2">
      <c r="B4" s="100" t="s">
        <v>164</v>
      </c>
      <c r="C4" s="100" t="s">
        <v>165</v>
      </c>
      <c r="D4" s="100" t="s">
        <v>166</v>
      </c>
    </row>
    <row r="5" spans="2:4" ht="16.5" x14ac:dyDescent="0.2">
      <c r="B5" s="101">
        <v>1</v>
      </c>
      <c r="C5" s="102" t="s">
        <v>200</v>
      </c>
      <c r="D5" s="130"/>
    </row>
    <row r="6" spans="2:4" ht="16.5" x14ac:dyDescent="0.2">
      <c r="B6" s="103">
        <v>2</v>
      </c>
      <c r="C6" s="104" t="s">
        <v>167</v>
      </c>
      <c r="D6" s="131"/>
    </row>
    <row r="7" spans="2:4" ht="16.5" x14ac:dyDescent="0.2">
      <c r="B7" s="101">
        <v>3</v>
      </c>
      <c r="C7" s="105" t="s">
        <v>230</v>
      </c>
      <c r="D7" s="130"/>
    </row>
  </sheetData>
  <mergeCells count="3">
    <mergeCell ref="B1:D1"/>
    <mergeCell ref="B2:D2"/>
    <mergeCell ref="B3:D3"/>
  </mergeCells>
  <pageMargins left="0.511811024" right="0.511811024" top="0.78740157499999996" bottom="0.78740157499999996" header="0.31496062000000002" footer="0.31496062000000002"/>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8"/>
  <sheetViews>
    <sheetView view="pageBreakPreview" topLeftCell="C32" zoomScaleNormal="100" zoomScaleSheetLayoutView="100" workbookViewId="0">
      <selection activeCell="C1" sqref="B1:F38"/>
    </sheetView>
  </sheetViews>
  <sheetFormatPr defaultColWidth="9.140625" defaultRowHeight="16.5" x14ac:dyDescent="0.3"/>
  <cols>
    <col min="1" max="1" width="2.7109375" style="7" customWidth="1"/>
    <col min="2" max="2" width="8.85546875" style="7" customWidth="1"/>
    <col min="3" max="3" width="52.5703125" style="12" customWidth="1"/>
    <col min="4" max="4" width="9.5703125" style="12" customWidth="1"/>
    <col min="5" max="5" width="13.5703125" style="12" customWidth="1"/>
    <col min="6" max="6" width="15.42578125" style="12" bestFit="1" customWidth="1"/>
    <col min="7" max="16384" width="9.140625" style="7"/>
  </cols>
  <sheetData>
    <row r="1" spans="1:6" s="76" customFormat="1" ht="25.5" x14ac:dyDescent="0.5">
      <c r="B1" s="92" t="s">
        <v>141</v>
      </c>
      <c r="C1" s="7"/>
      <c r="D1" s="7"/>
      <c r="E1" s="7"/>
      <c r="F1" s="7"/>
    </row>
    <row r="2" spans="1:6" x14ac:dyDescent="0.3">
      <c r="B2" s="43" t="s">
        <v>8</v>
      </c>
      <c r="E2" s="8"/>
      <c r="F2" s="8"/>
    </row>
    <row r="3" spans="1:6" ht="33" x14ac:dyDescent="0.3">
      <c r="B3" s="1">
        <v>1</v>
      </c>
      <c r="C3" s="137" t="s">
        <v>9</v>
      </c>
      <c r="D3" s="137"/>
      <c r="E3" s="137"/>
      <c r="F3" s="3" t="s">
        <v>158</v>
      </c>
    </row>
    <row r="4" spans="1:6" x14ac:dyDescent="0.3">
      <c r="B4" s="1" t="s">
        <v>6</v>
      </c>
      <c r="C4" s="138" t="s">
        <v>106</v>
      </c>
      <c r="D4" s="139"/>
      <c r="E4" s="140"/>
      <c r="F4" s="61">
        <v>220</v>
      </c>
    </row>
    <row r="5" spans="1:6" x14ac:dyDescent="0.3">
      <c r="B5" s="1" t="s">
        <v>7</v>
      </c>
      <c r="C5" s="179" t="s">
        <v>100</v>
      </c>
      <c r="D5" s="179"/>
      <c r="E5" s="179"/>
      <c r="F5" s="59">
        <v>7</v>
      </c>
    </row>
    <row r="6" spans="1:6" x14ac:dyDescent="0.3">
      <c r="B6" s="1" t="s">
        <v>10</v>
      </c>
      <c r="C6" s="138" t="s">
        <v>99</v>
      </c>
      <c r="D6" s="139"/>
      <c r="E6" s="140"/>
      <c r="F6" s="61">
        <v>365</v>
      </c>
    </row>
    <row r="7" spans="1:6" x14ac:dyDescent="0.3">
      <c r="B7" s="1" t="s">
        <v>12</v>
      </c>
      <c r="C7" s="179" t="s">
        <v>123</v>
      </c>
      <c r="D7" s="179"/>
      <c r="E7" s="179"/>
      <c r="F7" s="60">
        <v>15.2</v>
      </c>
    </row>
    <row r="8" spans="1:6" x14ac:dyDescent="0.3">
      <c r="B8" s="1" t="s">
        <v>105</v>
      </c>
      <c r="C8" s="138" t="s">
        <v>107</v>
      </c>
      <c r="D8" s="139"/>
      <c r="E8" s="140"/>
      <c r="F8" s="61">
        <v>12</v>
      </c>
    </row>
    <row r="9" spans="1:6" x14ac:dyDescent="0.3">
      <c r="B9" s="1" t="s">
        <v>111</v>
      </c>
      <c r="C9" s="179" t="s">
        <v>101</v>
      </c>
      <c r="D9" s="179"/>
      <c r="E9" s="179"/>
      <c r="F9" s="59">
        <v>60</v>
      </c>
    </row>
    <row r="10" spans="1:6" x14ac:dyDescent="0.3">
      <c r="B10" s="1" t="s">
        <v>112</v>
      </c>
      <c r="C10" s="138" t="s">
        <v>102</v>
      </c>
      <c r="D10" s="139"/>
      <c r="E10" s="140"/>
      <c r="F10" s="62">
        <v>52.5</v>
      </c>
    </row>
    <row r="11" spans="1:6" s="83" customFormat="1" x14ac:dyDescent="0.3"/>
    <row r="12" spans="1:6" s="83" customFormat="1" x14ac:dyDescent="0.3">
      <c r="A12" s="7"/>
      <c r="B12" s="43" t="s">
        <v>61</v>
      </c>
      <c r="C12" s="76"/>
      <c r="D12" s="76"/>
      <c r="E12" s="76"/>
      <c r="F12" s="76"/>
    </row>
    <row r="13" spans="1:6" s="83" customFormat="1" ht="15" customHeight="1" x14ac:dyDescent="0.3">
      <c r="A13" s="7"/>
      <c r="B13" s="1" t="s">
        <v>75</v>
      </c>
      <c r="C13" s="160" t="s">
        <v>14</v>
      </c>
      <c r="D13" s="161"/>
      <c r="E13" s="3" t="s">
        <v>32</v>
      </c>
      <c r="F13" s="3" t="s">
        <v>1</v>
      </c>
    </row>
    <row r="14" spans="1:6" s="83" customFormat="1" x14ac:dyDescent="0.3">
      <c r="B14" s="71" t="s">
        <v>4</v>
      </c>
      <c r="C14" s="135" t="s">
        <v>124</v>
      </c>
      <c r="D14" s="135"/>
      <c r="E14" s="23" t="s">
        <v>122</v>
      </c>
      <c r="F14" s="64">
        <v>6</v>
      </c>
    </row>
    <row r="15" spans="1:6" s="83" customFormat="1" x14ac:dyDescent="0.3"/>
    <row r="16" spans="1:6" s="76" customFormat="1" x14ac:dyDescent="0.3">
      <c r="A16" s="83"/>
      <c r="B16" s="43" t="s">
        <v>62</v>
      </c>
      <c r="C16" s="6"/>
      <c r="D16" s="15"/>
      <c r="E16" s="13"/>
      <c r="F16" s="13"/>
    </row>
    <row r="17" spans="1:6" s="76" customFormat="1" x14ac:dyDescent="0.3">
      <c r="A17" s="83"/>
      <c r="B17" s="1">
        <v>3</v>
      </c>
      <c r="C17" s="145" t="s">
        <v>42</v>
      </c>
      <c r="D17" s="146"/>
      <c r="E17" s="147"/>
      <c r="F17" s="3" t="s">
        <v>159</v>
      </c>
    </row>
    <row r="18" spans="1:6" s="76" customFormat="1" x14ac:dyDescent="0.3">
      <c r="A18" s="83"/>
      <c r="B18" s="1" t="s">
        <v>2</v>
      </c>
      <c r="C18" s="138" t="s">
        <v>118</v>
      </c>
      <c r="D18" s="139"/>
      <c r="E18" s="140"/>
      <c r="F18" s="47">
        <v>62.93</v>
      </c>
    </row>
    <row r="19" spans="1:6" x14ac:dyDescent="0.3">
      <c r="A19" s="83"/>
      <c r="B19" s="2" t="s">
        <v>3</v>
      </c>
      <c r="C19" s="180" t="s">
        <v>108</v>
      </c>
      <c r="D19" s="181"/>
      <c r="E19" s="182"/>
      <c r="F19" s="29">
        <v>5.55</v>
      </c>
    </row>
    <row r="20" spans="1:6" s="76" customFormat="1" ht="15.95" customHeight="1" x14ac:dyDescent="0.15">
      <c r="B20" s="2" t="s">
        <v>4</v>
      </c>
      <c r="C20" s="138" t="s">
        <v>109</v>
      </c>
      <c r="D20" s="139"/>
      <c r="E20" s="140"/>
      <c r="F20" s="63">
        <v>40</v>
      </c>
    </row>
    <row r="21" spans="1:6" ht="16.5" customHeight="1" x14ac:dyDescent="0.3">
      <c r="A21" s="83"/>
      <c r="B21" s="2" t="s">
        <v>5</v>
      </c>
      <c r="C21" s="180" t="s">
        <v>110</v>
      </c>
      <c r="D21" s="181"/>
      <c r="E21" s="182"/>
      <c r="F21" s="64">
        <v>94.45</v>
      </c>
    </row>
    <row r="22" spans="1:6" x14ac:dyDescent="0.3">
      <c r="A22" s="83"/>
      <c r="B22" s="2" t="s">
        <v>6</v>
      </c>
      <c r="C22" s="138" t="s">
        <v>120</v>
      </c>
      <c r="D22" s="139"/>
      <c r="E22" s="140"/>
      <c r="F22" s="63">
        <v>30</v>
      </c>
    </row>
    <row r="23" spans="1:6" s="83" customFormat="1" x14ac:dyDescent="0.3"/>
    <row r="24" spans="1:6" s="76" customFormat="1" x14ac:dyDescent="0.3">
      <c r="B24" s="43" t="s">
        <v>63</v>
      </c>
      <c r="C24" s="6"/>
      <c r="D24" s="15"/>
      <c r="E24" s="7"/>
      <c r="F24" s="7"/>
    </row>
    <row r="25" spans="1:6" s="76" customFormat="1" ht="15" customHeight="1" x14ac:dyDescent="0.3">
      <c r="B25" s="43" t="s">
        <v>86</v>
      </c>
      <c r="C25" s="6"/>
      <c r="D25" s="15"/>
      <c r="E25" s="13"/>
      <c r="F25" s="13"/>
    </row>
    <row r="26" spans="1:6" s="76" customFormat="1" x14ac:dyDescent="0.15">
      <c r="B26" s="1" t="s">
        <v>18</v>
      </c>
      <c r="C26" s="153" t="s">
        <v>87</v>
      </c>
      <c r="D26" s="154"/>
      <c r="E26" s="155"/>
      <c r="F26" s="3" t="s">
        <v>159</v>
      </c>
    </row>
    <row r="27" spans="1:6" s="76" customFormat="1" x14ac:dyDescent="0.15">
      <c r="B27" s="1" t="s">
        <v>2</v>
      </c>
      <c r="C27" s="138" t="s">
        <v>113</v>
      </c>
      <c r="D27" s="139"/>
      <c r="E27" s="140"/>
      <c r="F27" s="63">
        <v>8</v>
      </c>
    </row>
    <row r="28" spans="1:6" x14ac:dyDescent="0.3">
      <c r="A28" s="76"/>
      <c r="B28" s="2" t="s">
        <v>3</v>
      </c>
      <c r="C28" s="157" t="s">
        <v>114</v>
      </c>
      <c r="D28" s="158"/>
      <c r="E28" s="159"/>
      <c r="F28" s="64">
        <v>20</v>
      </c>
    </row>
    <row r="29" spans="1:6" x14ac:dyDescent="0.3">
      <c r="A29" s="76"/>
      <c r="B29" s="2" t="s">
        <v>4</v>
      </c>
      <c r="C29" s="138" t="s">
        <v>115</v>
      </c>
      <c r="D29" s="139"/>
      <c r="E29" s="140"/>
      <c r="F29" s="47">
        <v>1.42</v>
      </c>
    </row>
    <row r="30" spans="1:6" x14ac:dyDescent="0.3">
      <c r="A30" s="76"/>
      <c r="B30" s="2" t="s">
        <v>5</v>
      </c>
      <c r="C30" s="157" t="s">
        <v>151</v>
      </c>
      <c r="D30" s="158"/>
      <c r="E30" s="159"/>
      <c r="F30" s="29">
        <v>45.22</v>
      </c>
    </row>
    <row r="31" spans="1:6" s="76" customFormat="1" ht="15.95" customHeight="1" x14ac:dyDescent="0.3">
      <c r="A31" s="7"/>
      <c r="B31" s="2" t="s">
        <v>6</v>
      </c>
      <c r="C31" s="138" t="s">
        <v>116</v>
      </c>
      <c r="D31" s="139"/>
      <c r="E31" s="140"/>
      <c r="F31" s="47">
        <f>(154800/34808000)*100</f>
        <v>0.44</v>
      </c>
    </row>
    <row r="32" spans="1:6" ht="15.75" customHeight="1" x14ac:dyDescent="0.3">
      <c r="A32" s="76"/>
      <c r="B32" s="2" t="s">
        <v>7</v>
      </c>
      <c r="C32" s="157" t="s">
        <v>121</v>
      </c>
      <c r="D32" s="158"/>
      <c r="E32" s="159"/>
      <c r="F32" s="64">
        <v>15</v>
      </c>
    </row>
    <row r="33" spans="1:6" ht="15.75" customHeight="1" x14ac:dyDescent="0.3">
      <c r="A33" s="76"/>
      <c r="B33" s="2" t="s">
        <v>10</v>
      </c>
      <c r="C33" s="138" t="s">
        <v>117</v>
      </c>
      <c r="D33" s="139"/>
      <c r="E33" s="140"/>
      <c r="F33" s="63">
        <v>180</v>
      </c>
    </row>
    <row r="34" spans="1:6" x14ac:dyDescent="0.3">
      <c r="A34" s="76"/>
      <c r="B34" s="2" t="s">
        <v>11</v>
      </c>
      <c r="C34" s="157" t="s">
        <v>152</v>
      </c>
      <c r="D34" s="158"/>
      <c r="E34" s="159"/>
      <c r="F34" s="29">
        <v>54.78</v>
      </c>
    </row>
    <row r="35" spans="1:6" s="83" customFormat="1" ht="8.25" customHeight="1" x14ac:dyDescent="0.3"/>
    <row r="36" spans="1:6" s="83" customFormat="1" x14ac:dyDescent="0.3"/>
    <row r="37" spans="1:6" ht="20.25" x14ac:dyDescent="0.3">
      <c r="B37" s="26" t="s">
        <v>134</v>
      </c>
      <c r="C37" s="27"/>
      <c r="D37" s="27"/>
      <c r="E37" s="27"/>
      <c r="F37" s="28"/>
    </row>
    <row r="38" spans="1:6" ht="33.75" customHeight="1" x14ac:dyDescent="0.3">
      <c r="B38" s="156" t="s">
        <v>155</v>
      </c>
      <c r="C38" s="156"/>
      <c r="D38" s="156"/>
      <c r="E38" s="156"/>
      <c r="F38" s="156"/>
    </row>
  </sheetData>
  <mergeCells count="26">
    <mergeCell ref="B38:F38"/>
    <mergeCell ref="C34:E34"/>
    <mergeCell ref="C33:E33"/>
    <mergeCell ref="C20:E20"/>
    <mergeCell ref="C21:E21"/>
    <mergeCell ref="C22:E22"/>
    <mergeCell ref="C26:E26"/>
    <mergeCell ref="C27:E27"/>
    <mergeCell ref="C28:E28"/>
    <mergeCell ref="C29:E29"/>
    <mergeCell ref="C30:E30"/>
    <mergeCell ref="C31:E31"/>
    <mergeCell ref="C32:E32"/>
    <mergeCell ref="C17:E17"/>
    <mergeCell ref="C18:E18"/>
    <mergeCell ref="C19:E19"/>
    <mergeCell ref="C13:D13"/>
    <mergeCell ref="C14:D14"/>
    <mergeCell ref="C10:E10"/>
    <mergeCell ref="C3:E3"/>
    <mergeCell ref="C4:E4"/>
    <mergeCell ref="C5:E5"/>
    <mergeCell ref="C6:E6"/>
    <mergeCell ref="C7:E7"/>
    <mergeCell ref="C8:E8"/>
    <mergeCell ref="C9:E9"/>
  </mergeCells>
  <pageMargins left="0.511811024" right="0.511811024" top="0.78740157499999996" bottom="0.78740157499999996" header="0.31496062000000002" footer="0.31496062000000002"/>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34"/>
  <sheetViews>
    <sheetView view="pageBreakPreview" zoomScaleNormal="100" zoomScaleSheetLayoutView="100" workbookViewId="0">
      <selection activeCell="B1" sqref="B1:F34"/>
    </sheetView>
  </sheetViews>
  <sheetFormatPr defaultColWidth="9.140625" defaultRowHeight="16.5" x14ac:dyDescent="0.3"/>
  <cols>
    <col min="1" max="1" width="2.7109375" style="7" customWidth="1"/>
    <col min="2" max="2" width="8.85546875" style="7" customWidth="1"/>
    <col min="3" max="3" width="52.5703125" style="12" customWidth="1"/>
    <col min="4" max="4" width="22" style="12" customWidth="1"/>
    <col min="5" max="5" width="13.5703125" style="12" customWidth="1"/>
    <col min="6" max="6" width="43.85546875" style="7" customWidth="1"/>
    <col min="7" max="7" width="51.7109375" style="7" customWidth="1"/>
    <col min="8" max="16384" width="9.140625" style="7"/>
  </cols>
  <sheetData>
    <row r="1" spans="2:7" s="76" customFormat="1" ht="25.5" x14ac:dyDescent="0.5">
      <c r="B1" s="92" t="s">
        <v>142</v>
      </c>
      <c r="C1" s="7"/>
      <c r="D1" s="7"/>
      <c r="E1" s="7"/>
      <c r="F1" s="7"/>
      <c r="G1" s="7"/>
    </row>
    <row r="2" spans="2:7" x14ac:dyDescent="0.3">
      <c r="B2" s="43" t="s">
        <v>56</v>
      </c>
      <c r="E2" s="14"/>
    </row>
    <row r="3" spans="2:7" x14ac:dyDescent="0.3">
      <c r="B3" s="43" t="s">
        <v>93</v>
      </c>
      <c r="C3" s="6"/>
      <c r="D3" s="15"/>
      <c r="E3" s="13"/>
    </row>
    <row r="4" spans="2:7" x14ac:dyDescent="0.3">
      <c r="B4" s="1" t="s">
        <v>57</v>
      </c>
      <c r="C4" s="186" t="s">
        <v>78</v>
      </c>
      <c r="D4" s="186"/>
      <c r="E4" s="3" t="s">
        <v>1</v>
      </c>
      <c r="F4" s="3" t="s">
        <v>143</v>
      </c>
    </row>
    <row r="5" spans="2:7" x14ac:dyDescent="0.3">
      <c r="B5" s="1" t="s">
        <v>2</v>
      </c>
      <c r="C5" s="185" t="s">
        <v>41</v>
      </c>
      <c r="D5" s="185"/>
      <c r="E5" s="48">
        <f>(1/MESES_NO_ANO)*100</f>
        <v>8.33</v>
      </c>
      <c r="F5" s="48" t="s">
        <v>144</v>
      </c>
    </row>
    <row r="6" spans="2:7" x14ac:dyDescent="0.3">
      <c r="B6" s="2" t="s">
        <v>3</v>
      </c>
      <c r="C6" s="187" t="s">
        <v>79</v>
      </c>
      <c r="D6" s="187"/>
      <c r="E6" s="31">
        <f>(1/3)/MESES_NO_ANO*100</f>
        <v>2.78</v>
      </c>
      <c r="F6" s="31" t="s">
        <v>145</v>
      </c>
    </row>
    <row r="7" spans="2:7" s="83" customFormat="1" x14ac:dyDescent="0.3">
      <c r="B7" s="188" t="s">
        <v>58</v>
      </c>
      <c r="C7" s="188"/>
      <c r="D7" s="188"/>
      <c r="E7" s="188"/>
      <c r="F7" s="188"/>
    </row>
    <row r="8" spans="2:7" s="83" customFormat="1" ht="34.5" customHeight="1" x14ac:dyDescent="0.3">
      <c r="B8" s="1" t="s">
        <v>59</v>
      </c>
      <c r="C8" s="189" t="s">
        <v>80</v>
      </c>
      <c r="D8" s="189"/>
      <c r="E8" s="3" t="s">
        <v>1</v>
      </c>
    </row>
    <row r="9" spans="2:7" x14ac:dyDescent="0.3">
      <c r="B9" s="1" t="s">
        <v>2</v>
      </c>
      <c r="C9" s="185" t="s">
        <v>35</v>
      </c>
      <c r="D9" s="185"/>
      <c r="E9" s="48">
        <v>20</v>
      </c>
    </row>
    <row r="10" spans="2:7" s="76" customFormat="1" x14ac:dyDescent="0.15">
      <c r="B10" s="2" t="s">
        <v>3</v>
      </c>
      <c r="C10" s="187" t="s">
        <v>37</v>
      </c>
      <c r="D10" s="187"/>
      <c r="E10" s="38">
        <v>2.5</v>
      </c>
    </row>
    <row r="11" spans="2:7" s="76" customFormat="1" x14ac:dyDescent="0.15">
      <c r="B11" s="2" t="s">
        <v>4</v>
      </c>
      <c r="C11" s="185" t="s">
        <v>74</v>
      </c>
      <c r="D11" s="185"/>
      <c r="E11" s="48">
        <v>3</v>
      </c>
    </row>
    <row r="12" spans="2:7" s="76" customFormat="1" x14ac:dyDescent="0.15">
      <c r="B12" s="2" t="s">
        <v>5</v>
      </c>
      <c r="C12" s="187" t="s">
        <v>72</v>
      </c>
      <c r="D12" s="187"/>
      <c r="E12" s="31">
        <v>1.5</v>
      </c>
    </row>
    <row r="13" spans="2:7" s="76" customFormat="1" x14ac:dyDescent="0.15">
      <c r="B13" s="2" t="s">
        <v>6</v>
      </c>
      <c r="C13" s="185" t="s">
        <v>73</v>
      </c>
      <c r="D13" s="185"/>
      <c r="E13" s="48">
        <v>1</v>
      </c>
    </row>
    <row r="14" spans="2:7" s="76" customFormat="1" x14ac:dyDescent="0.15">
      <c r="B14" s="2" t="s">
        <v>7</v>
      </c>
      <c r="C14" s="187" t="s">
        <v>39</v>
      </c>
      <c r="D14" s="187"/>
      <c r="E14" s="38">
        <v>0.6</v>
      </c>
    </row>
    <row r="15" spans="2:7" s="76" customFormat="1" x14ac:dyDescent="0.15">
      <c r="B15" s="2" t="s">
        <v>10</v>
      </c>
      <c r="C15" s="185" t="s">
        <v>36</v>
      </c>
      <c r="D15" s="185"/>
      <c r="E15" s="48">
        <v>0.2</v>
      </c>
    </row>
    <row r="16" spans="2:7" x14ac:dyDescent="0.3">
      <c r="B16" s="2" t="s">
        <v>11</v>
      </c>
      <c r="C16" s="187" t="s">
        <v>38</v>
      </c>
      <c r="D16" s="187"/>
      <c r="E16" s="38">
        <v>8</v>
      </c>
    </row>
    <row r="17" spans="2:6" x14ac:dyDescent="0.3">
      <c r="B17" s="186" t="s">
        <v>40</v>
      </c>
      <c r="C17" s="186"/>
      <c r="D17" s="186"/>
      <c r="E17" s="32">
        <f>SUM(E9:E16)</f>
        <v>36.799999999999997</v>
      </c>
    </row>
    <row r="18" spans="2:6" s="83" customFormat="1" x14ac:dyDescent="0.3">
      <c r="B18" s="43" t="s">
        <v>62</v>
      </c>
      <c r="C18" s="6"/>
      <c r="D18" s="15"/>
      <c r="E18" s="13"/>
    </row>
    <row r="19" spans="2:6" s="83" customFormat="1" ht="15" customHeight="1" x14ac:dyDescent="0.3">
      <c r="B19" s="1">
        <v>3</v>
      </c>
      <c r="C19" s="186" t="s">
        <v>42</v>
      </c>
      <c r="D19" s="186"/>
      <c r="E19" s="3" t="s">
        <v>1</v>
      </c>
      <c r="F19" s="3" t="s">
        <v>143</v>
      </c>
    </row>
    <row r="20" spans="2:6" s="83" customFormat="1" x14ac:dyDescent="0.3">
      <c r="B20" s="1" t="s">
        <v>2</v>
      </c>
      <c r="C20" s="183" t="s">
        <v>43</v>
      </c>
      <c r="D20" s="183"/>
      <c r="E20" s="48">
        <f>PERC_EMPREG_DEMIT_SEM_JUSTA_CAUSA_TOTAL_DESLIG%*PERC_EMPREG_AVISO_PREVIO_IND%*1/MESES_NO_ANO*100</f>
        <v>0.28999999999999998</v>
      </c>
      <c r="F20" s="48" t="s">
        <v>146</v>
      </c>
    </row>
    <row r="21" spans="2:6" s="83" customFormat="1" x14ac:dyDescent="0.3">
      <c r="B21" s="2" t="s">
        <v>3</v>
      </c>
      <c r="C21" s="190" t="s">
        <v>44</v>
      </c>
      <c r="D21" s="190"/>
      <c r="E21" s="38">
        <f>PERC_EMPREG_DEMIT_SEM_JUSTA_CAUSA_TOTAL_DESLIG%*PERC_EMPREG_AVISO_PREVIO_TRAB%*(DIAS_NA_SEMANA/DIAS_NO_MES)/MESES_NO_ANO*100</f>
        <v>1.1599999999999999</v>
      </c>
      <c r="F21" s="31" t="s">
        <v>150</v>
      </c>
    </row>
    <row r="22" spans="2:6" s="76" customFormat="1" ht="16.5" customHeight="1" x14ac:dyDescent="0.15">
      <c r="B22" s="2" t="s">
        <v>4</v>
      </c>
      <c r="C22" s="183" t="s">
        <v>161</v>
      </c>
      <c r="D22" s="183"/>
      <c r="E22" s="48">
        <f>ROUNDUP(PERC_AVISO_PREVIO_TRAB%*(PERC_MULTA_FGTS%)*PERC_FGTS%*100,2)</f>
        <v>0.04</v>
      </c>
      <c r="F22" s="48" t="s">
        <v>160</v>
      </c>
    </row>
    <row r="23" spans="2:6" s="76" customFormat="1" ht="15.95" customHeight="1" x14ac:dyDescent="0.3">
      <c r="B23" s="43" t="s">
        <v>63</v>
      </c>
      <c r="C23" s="6"/>
      <c r="D23" s="15"/>
      <c r="E23" s="7"/>
    </row>
    <row r="24" spans="2:6" s="76" customFormat="1" ht="15.95" customHeight="1" x14ac:dyDescent="0.3">
      <c r="B24" s="43" t="s">
        <v>86</v>
      </c>
      <c r="C24" s="6"/>
      <c r="D24" s="15"/>
      <c r="E24" s="13"/>
    </row>
    <row r="25" spans="2:6" s="76" customFormat="1" x14ac:dyDescent="0.15">
      <c r="B25" s="1" t="s">
        <v>18</v>
      </c>
      <c r="C25" s="184" t="s">
        <v>87</v>
      </c>
      <c r="D25" s="184"/>
      <c r="E25" s="3" t="s">
        <v>1</v>
      </c>
      <c r="F25" s="3" t="s">
        <v>143</v>
      </c>
    </row>
    <row r="26" spans="2:6" s="76" customFormat="1" ht="15.95" customHeight="1" x14ac:dyDescent="0.15">
      <c r="B26" s="2" t="s">
        <v>2</v>
      </c>
      <c r="C26" s="185" t="s">
        <v>88</v>
      </c>
      <c r="D26" s="185"/>
      <c r="E26" s="48">
        <f>(1/MESES_NO_ANO)*100</f>
        <v>8.33</v>
      </c>
      <c r="F26" s="48" t="s">
        <v>147</v>
      </c>
    </row>
    <row r="27" spans="2:6" s="76" customFormat="1" ht="15.95" customHeight="1" x14ac:dyDescent="0.15">
      <c r="B27" s="2" t="s">
        <v>3</v>
      </c>
      <c r="C27" s="73" t="s">
        <v>89</v>
      </c>
      <c r="D27" s="73"/>
      <c r="E27" s="38">
        <f>(DIAS_AUSENCIAS_LEGAIS/DIAS_NO_MES)/MESES_NO_ANO*100</f>
        <v>2.2200000000000002</v>
      </c>
      <c r="F27" s="31" t="s">
        <v>148</v>
      </c>
    </row>
    <row r="28" spans="2:6" s="76" customFormat="1" ht="15.95" customHeight="1" x14ac:dyDescent="0.15">
      <c r="B28" s="2" t="s">
        <v>4</v>
      </c>
      <c r="C28" s="185" t="s">
        <v>90</v>
      </c>
      <c r="D28" s="185"/>
      <c r="E28" s="48">
        <f>(((DIAS_LICENCA_PATERNIDADE/DIAS_NO_MES)/MESES_NO_ANO)*PERC_NASCIDOS_VIVOS_POPUL_FEM%*PERC_PARTIC_MASC_VIGIL%)*100</f>
        <v>0.04</v>
      </c>
      <c r="F28" s="48" t="s">
        <v>153</v>
      </c>
    </row>
    <row r="29" spans="2:6" s="76" customFormat="1" x14ac:dyDescent="0.15">
      <c r="B29" s="2" t="s">
        <v>5</v>
      </c>
      <c r="C29" s="187" t="s">
        <v>91</v>
      </c>
      <c r="D29" s="187"/>
      <c r="E29" s="38">
        <f>(DIAS_PAGOS_EMPRESA_ACID_TRAB/DIAS_NO_MES)/MESES_NO_ANO*PERC_EMPREG_AFAST_TRAB%*100</f>
        <v>0.02</v>
      </c>
      <c r="F29" s="31" t="s">
        <v>149</v>
      </c>
    </row>
    <row r="30" spans="2:6" s="76" customFormat="1" ht="33" x14ac:dyDescent="0.15">
      <c r="B30" s="2" t="s">
        <v>6</v>
      </c>
      <c r="C30" s="185" t="s">
        <v>92</v>
      </c>
      <c r="D30" s="185"/>
      <c r="E30" s="48">
        <f>(((DIAS_LICENCA_MATERNIDADE/DIAS_NO_MES)/MESES_NO_ANO)*PERC_NASCIDOS_VIVOS_POPUL_FEM%*PERC_PARTIC_FEM_VIGIL%*PERC_GPS_FGTS%*100)</f>
        <v>0.14000000000000001</v>
      </c>
      <c r="F30" s="48" t="s">
        <v>154</v>
      </c>
    </row>
    <row r="31" spans="2:6" s="76" customFormat="1" x14ac:dyDescent="0.15">
      <c r="B31" s="2" t="s">
        <v>7</v>
      </c>
      <c r="C31" s="187" t="str">
        <f>OUTRAS_AUSENCIAS_DESCRICAO</f>
        <v>Outras Ausências (Especificar - em %)</v>
      </c>
      <c r="D31" s="187"/>
      <c r="E31" s="38">
        <f>PERC_SUBSTITUTO_OUTRAS_AUSENCIAS</f>
        <v>0</v>
      </c>
      <c r="F31" s="31"/>
    </row>
    <row r="33" spans="2:7" ht="20.25" x14ac:dyDescent="0.3">
      <c r="B33" s="26" t="s">
        <v>134</v>
      </c>
    </row>
    <row r="34" spans="2:7" ht="42.75" customHeight="1" x14ac:dyDescent="0.3">
      <c r="B34" s="156" t="s">
        <v>155</v>
      </c>
      <c r="C34" s="156"/>
      <c r="D34" s="156"/>
      <c r="E34" s="156"/>
      <c r="G34" s="93"/>
    </row>
  </sheetData>
  <mergeCells count="25">
    <mergeCell ref="B34:E34"/>
    <mergeCell ref="C31:D31"/>
    <mergeCell ref="C8:D8"/>
    <mergeCell ref="C9:D9"/>
    <mergeCell ref="C12:D12"/>
    <mergeCell ref="C13:D13"/>
    <mergeCell ref="C14:D14"/>
    <mergeCell ref="C15:D15"/>
    <mergeCell ref="C19:D19"/>
    <mergeCell ref="C20:D20"/>
    <mergeCell ref="C21:D21"/>
    <mergeCell ref="C16:D16"/>
    <mergeCell ref="B17:D17"/>
    <mergeCell ref="C28:D28"/>
    <mergeCell ref="C29:D29"/>
    <mergeCell ref="C30:D30"/>
    <mergeCell ref="C22:D22"/>
    <mergeCell ref="C25:D25"/>
    <mergeCell ref="C26:D26"/>
    <mergeCell ref="C4:D4"/>
    <mergeCell ref="C5:D5"/>
    <mergeCell ref="C6:D6"/>
    <mergeCell ref="C10:D10"/>
    <mergeCell ref="C11:D11"/>
    <mergeCell ref="B7:F7"/>
  </mergeCells>
  <dataValidations count="2">
    <dataValidation type="decimal" allowBlank="1" showInputMessage="1" showErrorMessage="1" errorTitle="Erro na inserção de dados." error="O percentual do Aviso Prévio Indenizado deverá ser inferior a 0,64%, conforme determinou o Tribunal de Contas da União por meio do Acórdão nº 1.904/2007 - Plenário." sqref="E20" xr:uid="{00000000-0002-0000-0200-000000000000}">
      <formula1>0</formula1>
      <formula2>0.46</formula2>
    </dataValidation>
    <dataValidation type="decimal" allowBlank="1" showInputMessage="1" showErrorMessage="1" errorTitle="Erro na inserção de dados." error="O percentual do Aviso Prévio Indenizado deverá ser inferior a 1,94%, conforme determinou o Tribunal de Contas da União por meio do Acórdão nº 1.904/2007 - Plenário." sqref="E21" xr:uid="{00000000-0002-0000-0200-000001000000}">
      <formula1>0</formula1>
      <formula2>1.94</formula2>
    </dataValidation>
  </dataValidations>
  <pageMargins left="0.18" right="0.17" top="0.1" bottom="0.03" header="0.14000000000000001" footer="0.04"/>
  <pageSetup paperSize="9" scale="95" orientation="landscape" r:id="rId1"/>
  <ignoredErrors>
    <ignoredError sqref="E3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F91"/>
  <sheetViews>
    <sheetView view="pageBreakPreview" topLeftCell="A81" zoomScaleNormal="100" zoomScaleSheetLayoutView="100" workbookViewId="0">
      <selection activeCell="B1" sqref="B1:F91"/>
    </sheetView>
  </sheetViews>
  <sheetFormatPr defaultColWidth="9.140625" defaultRowHeight="16.5" x14ac:dyDescent="0.3"/>
  <cols>
    <col min="1" max="1" width="2.7109375" style="7" customWidth="1"/>
    <col min="2" max="2" width="8.85546875" style="7" customWidth="1"/>
    <col min="3" max="3" width="52.5703125" style="12" customWidth="1"/>
    <col min="4" max="4" width="7.85546875" style="12" customWidth="1"/>
    <col min="5" max="5" width="13.5703125" style="12" customWidth="1"/>
    <col min="6" max="6" width="15.42578125" style="12" bestFit="1" customWidth="1"/>
    <col min="7" max="16384" width="9.140625" style="7"/>
  </cols>
  <sheetData>
    <row r="1" spans="2:6" ht="20.25" x14ac:dyDescent="0.35">
      <c r="B1" s="191" t="str">
        <f>RAMO</f>
        <v>RAMO:</v>
      </c>
      <c r="C1" s="192"/>
      <c r="D1" s="192"/>
      <c r="E1" s="192"/>
      <c r="F1" s="193"/>
    </row>
    <row r="2" spans="2:6" ht="20.25" x14ac:dyDescent="0.35">
      <c r="B2" s="194" t="str">
        <f>UG</f>
        <v>UNIDADE GESTORA (SIGLA):</v>
      </c>
      <c r="C2" s="195"/>
      <c r="D2" s="196"/>
      <c r="E2" s="74" t="s">
        <v>48</v>
      </c>
      <c r="F2" s="75" t="str">
        <f>DATA_DO_ORCAMENTO_ESTIMATIVO</f>
        <v>XX/XX/20XX</v>
      </c>
    </row>
    <row r="3" spans="2:6" s="76" customFormat="1" ht="25.5" x14ac:dyDescent="0.5">
      <c r="B3" s="166" t="s">
        <v>138</v>
      </c>
      <c r="C3" s="166"/>
      <c r="D3" s="166"/>
      <c r="E3" s="166"/>
      <c r="F3" s="166"/>
    </row>
    <row r="4" spans="2:6" s="76" customFormat="1" ht="15.95" customHeight="1" x14ac:dyDescent="0.3">
      <c r="B4" s="133" t="s">
        <v>81</v>
      </c>
      <c r="C4" s="133"/>
      <c r="D4" s="133"/>
      <c r="E4" s="133"/>
      <c r="F4" s="133"/>
    </row>
    <row r="5" spans="2:6" s="76" customFormat="1" ht="15.95" customHeight="1" x14ac:dyDescent="0.3">
      <c r="B5" s="167" t="s">
        <v>156</v>
      </c>
      <c r="C5" s="167"/>
      <c r="D5" s="197" t="str">
        <f>NUMERO_PROCESSO</f>
        <v>X.XX.XXX.XXXXXX/20XX-XX</v>
      </c>
      <c r="E5" s="197"/>
      <c r="F5" s="197"/>
    </row>
    <row r="6" spans="2:6" s="76" customFormat="1" ht="15.75" customHeight="1" x14ac:dyDescent="0.3">
      <c r="B6" s="171" t="s">
        <v>157</v>
      </c>
      <c r="C6" s="171"/>
      <c r="D6" s="198" t="str">
        <f>MODALIDADE_DE_LICITACAO</f>
        <v>Pregão nº</v>
      </c>
      <c r="E6" s="198"/>
      <c r="F6" s="99" t="str">
        <f>NUMERO_PREGAO</f>
        <v>XX/20XX</v>
      </c>
    </row>
    <row r="7" spans="2:6" s="76" customFormat="1" ht="15.75" customHeight="1" x14ac:dyDescent="0.3">
      <c r="B7" s="199" t="s">
        <v>49</v>
      </c>
      <c r="C7" s="199"/>
      <c r="D7" s="199"/>
      <c r="E7" s="199"/>
      <c r="F7" s="199"/>
    </row>
    <row r="8" spans="2:6" s="76" customFormat="1" ht="18" customHeight="1" x14ac:dyDescent="0.3">
      <c r="B8" s="18" t="s">
        <v>2</v>
      </c>
      <c r="C8" s="167" t="s">
        <v>54</v>
      </c>
      <c r="D8" s="167"/>
      <c r="E8" s="167"/>
      <c r="F8" s="77" t="str">
        <f>DATA_APRESENTACAO_PROPOSTA</f>
        <v>XX/XX/20XX</v>
      </c>
    </row>
    <row r="9" spans="2:6" s="76" customFormat="1" ht="15.95" customHeight="1" x14ac:dyDescent="0.15">
      <c r="B9" s="1" t="s">
        <v>3</v>
      </c>
      <c r="C9" s="56" t="s">
        <v>30</v>
      </c>
      <c r="D9" s="200" t="str">
        <f>IF(LOCAL_DE_EXECUCAO="","",LOCAL_DE_EXECUCAO)</f>
        <v/>
      </c>
      <c r="E9" s="200"/>
      <c r="F9" s="200"/>
    </row>
    <row r="10" spans="2:6" s="76" customFormat="1" ht="18.75" customHeight="1" x14ac:dyDescent="0.3">
      <c r="B10" s="18" t="s">
        <v>4</v>
      </c>
      <c r="C10" s="167" t="s">
        <v>31</v>
      </c>
      <c r="D10" s="167"/>
      <c r="E10" s="167"/>
      <c r="F10" s="78" t="str">
        <f>ACORDO_COLETIVO</f>
        <v>XX/20XX</v>
      </c>
    </row>
    <row r="11" spans="2:6" s="76" customFormat="1" ht="15.95" customHeight="1" x14ac:dyDescent="0.3">
      <c r="B11" s="1" t="s">
        <v>5</v>
      </c>
      <c r="C11" s="200" t="s">
        <v>55</v>
      </c>
      <c r="D11" s="200"/>
      <c r="E11" s="200"/>
      <c r="F11" s="23">
        <f>NUMERO_MESES_EXEC_CONTRATUAL</f>
        <v>12</v>
      </c>
    </row>
    <row r="12" spans="2:6" s="76" customFormat="1" x14ac:dyDescent="0.3">
      <c r="B12" s="1" t="s">
        <v>6</v>
      </c>
      <c r="C12" s="204" t="s">
        <v>70</v>
      </c>
      <c r="D12" s="204"/>
      <c r="E12" s="204"/>
      <c r="F12" s="54">
        <f>IF(QTDE_POSTOS="","",QTDE_POSTOS)</f>
        <v>5</v>
      </c>
    </row>
    <row r="13" spans="2:6" s="81" customFormat="1" ht="15" customHeight="1" x14ac:dyDescent="0.2">
      <c r="B13" s="79" t="s">
        <v>135</v>
      </c>
      <c r="C13" s="80"/>
      <c r="D13" s="80"/>
      <c r="E13" s="80"/>
      <c r="F13" s="80"/>
    </row>
    <row r="14" spans="2:6" s="76" customFormat="1" x14ac:dyDescent="0.3">
      <c r="B14" s="18">
        <v>1</v>
      </c>
      <c r="C14" s="136" t="s">
        <v>51</v>
      </c>
      <c r="D14" s="136"/>
      <c r="E14" s="205" t="s">
        <v>212</v>
      </c>
      <c r="F14" s="205"/>
    </row>
    <row r="15" spans="2:6" s="76" customFormat="1" x14ac:dyDescent="0.3">
      <c r="B15" s="18">
        <v>2</v>
      </c>
      <c r="C15" s="20" t="s">
        <v>50</v>
      </c>
      <c r="D15" s="206" t="str">
        <f>IF(CBO="","",CBO)</f>
        <v/>
      </c>
      <c r="E15" s="206"/>
      <c r="F15" s="206"/>
    </row>
    <row r="16" spans="2:6" s="76" customFormat="1" ht="15" customHeight="1" x14ac:dyDescent="0.3">
      <c r="B16" s="18">
        <v>3</v>
      </c>
      <c r="C16" s="95" t="s">
        <v>52</v>
      </c>
      <c r="D16" s="205" t="str">
        <f>IF(CATEGORIA_PROFISSIONAL="","",CATEGORIA_PROFISSIONAL)</f>
        <v/>
      </c>
      <c r="E16" s="205"/>
      <c r="F16" s="205"/>
    </row>
    <row r="17" spans="2:6" s="76" customFormat="1" ht="15" customHeight="1" x14ac:dyDescent="0.3">
      <c r="B17" s="18">
        <v>4</v>
      </c>
      <c r="C17" s="135" t="s">
        <v>53</v>
      </c>
      <c r="D17" s="135"/>
      <c r="E17" s="135"/>
      <c r="F17" s="96" t="str">
        <f>DATA_BASE_CATEGORIA</f>
        <v>XX/XX/20XX</v>
      </c>
    </row>
    <row r="18" spans="2:6" s="82" customFormat="1" ht="20.25" customHeight="1" x14ac:dyDescent="0.3">
      <c r="B18" s="207" t="s">
        <v>34</v>
      </c>
      <c r="C18" s="207"/>
      <c r="D18" s="207"/>
      <c r="E18" s="207"/>
      <c r="F18" s="207"/>
    </row>
    <row r="19" spans="2:6" x14ac:dyDescent="0.3">
      <c r="B19" s="186" t="s">
        <v>46</v>
      </c>
      <c r="C19" s="186"/>
      <c r="D19" s="186"/>
      <c r="E19" s="186"/>
      <c r="F19" s="87">
        <f>IF(EMPREG_POR_POSTO="","",EMPREG_POR_POSTO)</f>
        <v>1</v>
      </c>
    </row>
    <row r="20" spans="2:6" x14ac:dyDescent="0.3">
      <c r="B20" s="43" t="s">
        <v>8</v>
      </c>
      <c r="E20" s="8"/>
      <c r="F20" s="8"/>
    </row>
    <row r="21" spans="2:6" x14ac:dyDescent="0.3">
      <c r="B21" s="1">
        <v>1</v>
      </c>
      <c r="C21" s="137" t="s">
        <v>9</v>
      </c>
      <c r="D21" s="137"/>
      <c r="E21" s="137"/>
      <c r="F21" s="3" t="s">
        <v>13</v>
      </c>
    </row>
    <row r="22" spans="2:6" x14ac:dyDescent="0.3">
      <c r="B22" s="1" t="s">
        <v>2</v>
      </c>
      <c r="C22" s="162" t="s">
        <v>77</v>
      </c>
      <c r="D22" s="162"/>
      <c r="E22" s="162"/>
      <c r="F22" s="46">
        <f>SALARIO_BASE</f>
        <v>0</v>
      </c>
    </row>
    <row r="23" spans="2:6" x14ac:dyDescent="0.3">
      <c r="B23" s="1" t="s">
        <v>3</v>
      </c>
      <c r="C23" s="201" t="str">
        <f>OUTROS_REMUNERACAO_1_DESCRICAO</f>
        <v>Outras Remunerações (Especificar)</v>
      </c>
      <c r="D23" s="202"/>
      <c r="E23" s="203"/>
      <c r="F23" s="4">
        <f>OUTROS_REMUNERACAO_1</f>
        <v>0</v>
      </c>
    </row>
    <row r="24" spans="2:6" x14ac:dyDescent="0.3">
      <c r="B24" s="208" t="s">
        <v>40</v>
      </c>
      <c r="C24" s="208"/>
      <c r="D24" s="208"/>
      <c r="E24" s="208"/>
      <c r="F24" s="33">
        <f>SUM(F22:F23)</f>
        <v>0</v>
      </c>
    </row>
    <row r="25" spans="2:6" x14ac:dyDescent="0.3">
      <c r="B25" s="43" t="s">
        <v>56</v>
      </c>
      <c r="E25" s="14"/>
      <c r="F25" s="14"/>
    </row>
    <row r="26" spans="2:6" x14ac:dyDescent="0.3">
      <c r="B26" s="43" t="s">
        <v>93</v>
      </c>
      <c r="C26" s="6"/>
      <c r="D26" s="15"/>
      <c r="E26" s="13"/>
      <c r="F26" s="13"/>
    </row>
    <row r="27" spans="2:6" x14ac:dyDescent="0.3">
      <c r="B27" s="1" t="s">
        <v>57</v>
      </c>
      <c r="C27" s="186" t="s">
        <v>78</v>
      </c>
      <c r="D27" s="186"/>
      <c r="E27" s="3" t="s">
        <v>1</v>
      </c>
      <c r="F27" s="3" t="s">
        <v>13</v>
      </c>
    </row>
    <row r="28" spans="2:6" x14ac:dyDescent="0.3">
      <c r="B28" s="1" t="s">
        <v>2</v>
      </c>
      <c r="C28" s="185" t="s">
        <v>41</v>
      </c>
      <c r="D28" s="185"/>
      <c r="E28" s="48">
        <f>PERC_DEC_TERC</f>
        <v>8.33</v>
      </c>
      <c r="F28" s="47">
        <f>PERC_DEC_TERC%*MOD_1_REMUNERACAO</f>
        <v>0</v>
      </c>
    </row>
    <row r="29" spans="2:6" x14ac:dyDescent="0.3">
      <c r="B29" s="2" t="s">
        <v>3</v>
      </c>
      <c r="C29" s="187" t="s">
        <v>79</v>
      </c>
      <c r="D29" s="187"/>
      <c r="E29" s="31">
        <f>PERC_ADIC_FERIAS</f>
        <v>2.78</v>
      </c>
      <c r="F29" s="29">
        <f>PERC_ADIC_FERIAS%*MOD_1_REMUNERACAO</f>
        <v>0</v>
      </c>
    </row>
    <row r="30" spans="2:6" s="83" customFormat="1" x14ac:dyDescent="0.3">
      <c r="B30" s="145" t="s">
        <v>40</v>
      </c>
      <c r="C30" s="146"/>
      <c r="D30" s="146"/>
      <c r="E30" s="147"/>
      <c r="F30" s="34">
        <f>SUM(F28:F29)</f>
        <v>0</v>
      </c>
    </row>
    <row r="31" spans="2:6" s="83" customFormat="1" ht="31.5" customHeight="1" x14ac:dyDescent="0.3">
      <c r="B31" s="209" t="s">
        <v>58</v>
      </c>
      <c r="C31" s="209"/>
      <c r="D31" s="209"/>
      <c r="E31" s="209"/>
      <c r="F31" s="209"/>
    </row>
    <row r="32" spans="2:6" s="83" customFormat="1" ht="34.5" customHeight="1" x14ac:dyDescent="0.3">
      <c r="B32" s="1" t="s">
        <v>59</v>
      </c>
      <c r="C32" s="189" t="s">
        <v>80</v>
      </c>
      <c r="D32" s="189"/>
      <c r="E32" s="3" t="s">
        <v>1</v>
      </c>
      <c r="F32" s="3" t="s">
        <v>13</v>
      </c>
    </row>
    <row r="33" spans="2:6" x14ac:dyDescent="0.3">
      <c r="B33" s="1" t="s">
        <v>2</v>
      </c>
      <c r="C33" s="185" t="s">
        <v>35</v>
      </c>
      <c r="D33" s="185"/>
      <c r="E33" s="48">
        <f>PERC_INSS</f>
        <v>20</v>
      </c>
      <c r="F33" s="47">
        <f>PERC_INSS%*(MOD_1_REMUNERACAO+SUBMOD_2_1_DEC_TERC_ADIC_FERIAS)</f>
        <v>0</v>
      </c>
    </row>
    <row r="34" spans="2:6" s="76" customFormat="1" x14ac:dyDescent="0.15">
      <c r="B34" s="2" t="s">
        <v>3</v>
      </c>
      <c r="C34" s="187" t="s">
        <v>37</v>
      </c>
      <c r="D34" s="187"/>
      <c r="E34" s="38">
        <f>PERC_SAL_EDUCACAO</f>
        <v>2.5</v>
      </c>
      <c r="F34" s="29">
        <f>PERC_SAL_EDUCACAO%*(MOD_1_REMUNERACAO+SUBMOD_2_1_DEC_TERC_ADIC_FERIAS)</f>
        <v>0</v>
      </c>
    </row>
    <row r="35" spans="2:6" s="76" customFormat="1" x14ac:dyDescent="0.15">
      <c r="B35" s="2" t="s">
        <v>4</v>
      </c>
      <c r="C35" s="185" t="s">
        <v>74</v>
      </c>
      <c r="D35" s="185"/>
      <c r="E35" s="48">
        <f>PERC_RAT</f>
        <v>3</v>
      </c>
      <c r="F35" s="47">
        <f>PERC_RAT%*(MOD_1_REMUNERACAO+SUBMOD_2_1_DEC_TERC_ADIC_FERIAS)</f>
        <v>0</v>
      </c>
    </row>
    <row r="36" spans="2:6" s="76" customFormat="1" x14ac:dyDescent="0.15">
      <c r="B36" s="2" t="s">
        <v>5</v>
      </c>
      <c r="C36" s="187" t="s">
        <v>72</v>
      </c>
      <c r="D36" s="187"/>
      <c r="E36" s="31">
        <f>PERC_SESC</f>
        <v>1.5</v>
      </c>
      <c r="F36" s="29">
        <f>PERC_SESC%*(MOD_1_REMUNERACAO+SUBMOD_2_1_DEC_TERC_ADIC_FERIAS)</f>
        <v>0</v>
      </c>
    </row>
    <row r="37" spans="2:6" s="76" customFormat="1" x14ac:dyDescent="0.15">
      <c r="B37" s="2" t="s">
        <v>6</v>
      </c>
      <c r="C37" s="185" t="s">
        <v>73</v>
      </c>
      <c r="D37" s="185"/>
      <c r="E37" s="48">
        <f>PERC_SENAC</f>
        <v>1</v>
      </c>
      <c r="F37" s="47">
        <f>PERC_SENAC%*(MOD_1_REMUNERACAO+SUBMOD_2_1_DEC_TERC_ADIC_FERIAS)</f>
        <v>0</v>
      </c>
    </row>
    <row r="38" spans="2:6" s="76" customFormat="1" x14ac:dyDescent="0.15">
      <c r="B38" s="2" t="s">
        <v>7</v>
      </c>
      <c r="C38" s="187" t="s">
        <v>39</v>
      </c>
      <c r="D38" s="187"/>
      <c r="E38" s="38">
        <f>PERC_SEBRAE</f>
        <v>0.6</v>
      </c>
      <c r="F38" s="29">
        <f>PERC_SEBRAE%*(MOD_1_REMUNERACAO+SUBMOD_2_1_DEC_TERC_ADIC_FERIAS)</f>
        <v>0</v>
      </c>
    </row>
    <row r="39" spans="2:6" s="76" customFormat="1" x14ac:dyDescent="0.15">
      <c r="B39" s="2" t="s">
        <v>10</v>
      </c>
      <c r="C39" s="185" t="s">
        <v>36</v>
      </c>
      <c r="D39" s="185"/>
      <c r="E39" s="48">
        <f>PERC_INCRA</f>
        <v>0.2</v>
      </c>
      <c r="F39" s="47">
        <f>PERC_INCRA%*(MOD_1_REMUNERACAO+SUBMOD_2_1_DEC_TERC_ADIC_FERIAS)</f>
        <v>0</v>
      </c>
    </row>
    <row r="40" spans="2:6" x14ac:dyDescent="0.3">
      <c r="B40" s="2" t="s">
        <v>11</v>
      </c>
      <c r="C40" s="187" t="s">
        <v>38</v>
      </c>
      <c r="D40" s="187"/>
      <c r="E40" s="38">
        <f>PERC_FGTS</f>
        <v>8</v>
      </c>
      <c r="F40" s="29">
        <f>PERC_FGTS%*(MOD_1_REMUNERACAO+SUBMOD_2_1_DEC_TERC_ADIC_FERIAS)</f>
        <v>0</v>
      </c>
    </row>
    <row r="41" spans="2:6" x14ac:dyDescent="0.3">
      <c r="B41" s="145" t="s">
        <v>40</v>
      </c>
      <c r="C41" s="146"/>
      <c r="D41" s="146"/>
      <c r="E41" s="147"/>
      <c r="F41" s="35">
        <f>SUM(F33:F40)</f>
        <v>0</v>
      </c>
    </row>
    <row r="42" spans="2:6" ht="15.75" customHeight="1" x14ac:dyDescent="0.3">
      <c r="B42" s="43" t="s">
        <v>61</v>
      </c>
      <c r="C42" s="76"/>
      <c r="D42" s="76"/>
      <c r="E42" s="76"/>
      <c r="F42" s="76"/>
    </row>
    <row r="43" spans="2:6" ht="15.75" customHeight="1" x14ac:dyDescent="0.3">
      <c r="B43" s="1" t="s">
        <v>75</v>
      </c>
      <c r="C43" s="137" t="s">
        <v>14</v>
      </c>
      <c r="D43" s="137"/>
      <c r="E43" s="137"/>
      <c r="F43" s="3" t="s">
        <v>13</v>
      </c>
    </row>
    <row r="44" spans="2:6" x14ac:dyDescent="0.3">
      <c r="B44" s="18" t="s">
        <v>2</v>
      </c>
      <c r="C44" s="185" t="s">
        <v>15</v>
      </c>
      <c r="D44" s="185"/>
      <c r="E44" s="185"/>
      <c r="F44" s="47">
        <f>IF(((TRANSPORTE_POR_DIA*DIAS_TRABALHADOS_NO_MES)-(PERC_DESC_TRANSP_REMUNERACAO%*(AL_1_A_SAL_BASE)))&gt;0,((TRANSPORTE_POR_DIA*DIAS_TRABALHADOS_NO_MES)-(PERC_DESC_TRANSP_REMUNERACAO%*(AL_1_A_SAL_BASE))),0)</f>
        <v>0</v>
      </c>
    </row>
    <row r="45" spans="2:6" s="83" customFormat="1" x14ac:dyDescent="0.3">
      <c r="B45" s="18" t="s">
        <v>3</v>
      </c>
      <c r="C45" s="187" t="s">
        <v>60</v>
      </c>
      <c r="D45" s="187"/>
      <c r="E45" s="187"/>
      <c r="F45" s="29">
        <f>ALIMENTACAO_POR_DIA*DIAS_TRABALHADOS_NO_MES</f>
        <v>0</v>
      </c>
    </row>
    <row r="46" spans="2:6" s="83" customFormat="1" x14ac:dyDescent="0.3">
      <c r="B46" s="18" t="s">
        <v>4</v>
      </c>
      <c r="C46" s="210" t="str">
        <f>OUTROS_BENEFICIOS_1_DESCRICAO</f>
        <v>Outros Benefícios (Especificar)</v>
      </c>
      <c r="D46" s="211"/>
      <c r="E46" s="212"/>
      <c r="F46" s="47">
        <f>OUTROS_BENEFICIOS_1</f>
        <v>0</v>
      </c>
    </row>
    <row r="47" spans="2:6" s="83" customFormat="1" ht="15" customHeight="1" x14ac:dyDescent="0.3">
      <c r="B47" s="208" t="s">
        <v>40</v>
      </c>
      <c r="C47" s="208"/>
      <c r="D47" s="208"/>
      <c r="E47" s="208"/>
      <c r="F47" s="33">
        <f>SUM(F44:F46)</f>
        <v>0</v>
      </c>
    </row>
    <row r="48" spans="2:6" s="83" customFormat="1" x14ac:dyDescent="0.3">
      <c r="B48" s="43" t="s">
        <v>62</v>
      </c>
      <c r="C48" s="6"/>
      <c r="D48" s="15"/>
      <c r="E48" s="13"/>
      <c r="F48" s="13"/>
    </row>
    <row r="49" spans="2:6" s="83" customFormat="1" ht="15" customHeight="1" x14ac:dyDescent="0.3">
      <c r="B49" s="1">
        <v>3</v>
      </c>
      <c r="C49" s="186" t="s">
        <v>42</v>
      </c>
      <c r="D49" s="186"/>
      <c r="E49" s="3" t="s">
        <v>1</v>
      </c>
      <c r="F49" s="3" t="s">
        <v>13</v>
      </c>
    </row>
    <row r="50" spans="2:6" s="83" customFormat="1" x14ac:dyDescent="0.3">
      <c r="B50" s="1" t="s">
        <v>2</v>
      </c>
      <c r="C50" s="183" t="s">
        <v>43</v>
      </c>
      <c r="D50" s="183"/>
      <c r="E50" s="48">
        <f>PERC_AVISO_PREVIO_IND</f>
        <v>0.28999999999999998</v>
      </c>
      <c r="F50" s="47">
        <f>PERC_AVISO_PREVIO_IND%*(MOD_1_REMUNERACAO+SUBMOD_2_1_DEC_TERC_ADIC_FERIAS+AL_2_2_FGTS+SUBMOD_2_3_BENEFICIOS)</f>
        <v>0</v>
      </c>
    </row>
    <row r="51" spans="2:6" s="83" customFormat="1" x14ac:dyDescent="0.3">
      <c r="B51" s="2" t="s">
        <v>3</v>
      </c>
      <c r="C51" s="190" t="s">
        <v>44</v>
      </c>
      <c r="D51" s="190"/>
      <c r="E51" s="38">
        <f>PERC_AVISO_PREVIO_TRAB</f>
        <v>1.1599999999999999</v>
      </c>
      <c r="F51" s="29">
        <f>PERC_AVISO_PREVIO_TRAB%*(MOD_1_REMUNERACAO+SUBMOD_2_1_DEC_TERC_ADIC_FERIAS+SUBMOD_2_2_GPS_FGTS+SUBMOD_2_3_BENEFICIOS)</f>
        <v>0</v>
      </c>
    </row>
    <row r="52" spans="2:6" s="76" customFormat="1" x14ac:dyDescent="0.15">
      <c r="B52" s="2" t="s">
        <v>4</v>
      </c>
      <c r="C52" s="183" t="s">
        <v>161</v>
      </c>
      <c r="D52" s="183"/>
      <c r="E52" s="48">
        <f>PERC_MULTA_FGTS_AV_PREV_TRAB</f>
        <v>0.04</v>
      </c>
      <c r="F52" s="47">
        <f>PERC_MULTA_FGTS_AV_PREV_TRAB%*(MOD_1_REMUNERACAO+SUBMOD_2_1_DEC_TERC_ADIC_FERIAS)</f>
        <v>0</v>
      </c>
    </row>
    <row r="53" spans="2:6" s="76" customFormat="1" x14ac:dyDescent="0.3">
      <c r="B53" s="145" t="s">
        <v>40</v>
      </c>
      <c r="C53" s="146"/>
      <c r="D53" s="146"/>
      <c r="E53" s="147"/>
      <c r="F53" s="34">
        <f>SUM(F50:F52)</f>
        <v>0</v>
      </c>
    </row>
    <row r="54" spans="2:6" ht="7.5" customHeight="1" x14ac:dyDescent="0.3">
      <c r="B54" s="10"/>
      <c r="C54" s="7"/>
      <c r="D54" s="11"/>
      <c r="E54" s="8"/>
      <c r="F54" s="8"/>
    </row>
    <row r="55" spans="2:6" s="76" customFormat="1" ht="15.95" customHeight="1" x14ac:dyDescent="0.3">
      <c r="B55" s="43" t="s">
        <v>63</v>
      </c>
      <c r="C55" s="6"/>
      <c r="D55" s="15"/>
      <c r="E55" s="7"/>
      <c r="F55" s="7"/>
    </row>
    <row r="56" spans="2:6" s="76" customFormat="1" ht="15.95" customHeight="1" x14ac:dyDescent="0.3">
      <c r="B56" s="43" t="s">
        <v>86</v>
      </c>
      <c r="C56" s="6"/>
      <c r="D56" s="15"/>
      <c r="E56" s="13"/>
      <c r="F56" s="13"/>
    </row>
    <row r="57" spans="2:6" s="76" customFormat="1" x14ac:dyDescent="0.15">
      <c r="B57" s="1" t="s">
        <v>18</v>
      </c>
      <c r="C57" s="184" t="s">
        <v>87</v>
      </c>
      <c r="D57" s="184"/>
      <c r="E57" s="3" t="s">
        <v>1</v>
      </c>
      <c r="F57" s="3" t="s">
        <v>13</v>
      </c>
    </row>
    <row r="58" spans="2:6" s="76" customFormat="1" ht="15.95" customHeight="1" x14ac:dyDescent="0.15">
      <c r="B58" s="2" t="s">
        <v>2</v>
      </c>
      <c r="C58" s="185" t="s">
        <v>88</v>
      </c>
      <c r="D58" s="185"/>
      <c r="E58" s="48">
        <f>PERC_SUBSTITUTO_FERIAS</f>
        <v>8.33</v>
      </c>
      <c r="F58" s="47">
        <f>PERC_SUBSTITUTO_FERIAS%*(MOD_1_REMUNERACAO+MOD_2_ENCARGOS_BENEFICIOS+MOD_3_PROVISAO_RESCISAO)</f>
        <v>0</v>
      </c>
    </row>
    <row r="59" spans="2:6" s="76" customFormat="1" ht="15.95" customHeight="1" x14ac:dyDescent="0.15">
      <c r="B59" s="2" t="s">
        <v>3</v>
      </c>
      <c r="C59" s="187" t="s">
        <v>89</v>
      </c>
      <c r="D59" s="187"/>
      <c r="E59" s="38">
        <f>PERC_SUBSTITUTO_AUSENCIAS_LEGAIS</f>
        <v>2.2200000000000002</v>
      </c>
      <c r="F59" s="29">
        <f>PERC_SUBSTITUTO_AUSENCIAS_LEGAIS%*(MOD_1_REMUNERACAO+MOD_2_ENCARGOS_BENEFICIOS+MOD_3_PROVISAO_RESCISAO)</f>
        <v>0</v>
      </c>
    </row>
    <row r="60" spans="2:6" s="76" customFormat="1" ht="15.95" customHeight="1" x14ac:dyDescent="0.15">
      <c r="B60" s="2" t="s">
        <v>4</v>
      </c>
      <c r="C60" s="185" t="s">
        <v>90</v>
      </c>
      <c r="D60" s="185"/>
      <c r="E60" s="48">
        <f>PERC_SUBSTITUTO_LICENCA_PATERNIDADE</f>
        <v>0.04</v>
      </c>
      <c r="F60" s="47">
        <f>PERC_SUBSTITUTO_LICENCA_PATERNIDADE%*(MOD_1_REMUNERACAO+MOD_2_ENCARGOS_BENEFICIOS+MOD_3_PROVISAO_RESCISAO)</f>
        <v>0</v>
      </c>
    </row>
    <row r="61" spans="2:6" s="76" customFormat="1" x14ac:dyDescent="0.15">
      <c r="B61" s="2" t="s">
        <v>5</v>
      </c>
      <c r="C61" s="187" t="s">
        <v>91</v>
      </c>
      <c r="D61" s="187"/>
      <c r="E61" s="38">
        <f>PERC_SUBSTITUTO_ACID_TRAB</f>
        <v>0.02</v>
      </c>
      <c r="F61" s="29">
        <f>PERC_SUBSTITUTO_ACID_TRAB%*(MOD_1_REMUNERACAO+MOD_2_ENCARGOS_BENEFICIOS+MOD_3_PROVISAO_RESCISAO)</f>
        <v>0</v>
      </c>
    </row>
    <row r="62" spans="2:6" s="76" customFormat="1" x14ac:dyDescent="0.15">
      <c r="B62" s="2" t="s">
        <v>6</v>
      </c>
      <c r="C62" s="185" t="s">
        <v>92</v>
      </c>
      <c r="D62" s="185"/>
      <c r="E62" s="48">
        <f>PERC_SUBSTITUTO_AFAST_MATERN</f>
        <v>0.14000000000000001</v>
      </c>
      <c r="F62" s="47">
        <f>PERC_SUBSTITUTO_AFAST_MATERN%*(MOD_1_REMUNERACAO+MOD_2_ENCARGOS_BENEFICIOS+MOD_3_PROVISAO_RESCISAO)</f>
        <v>0</v>
      </c>
    </row>
    <row r="63" spans="2:6" s="76" customFormat="1" x14ac:dyDescent="0.15">
      <c r="B63" s="2" t="s">
        <v>7</v>
      </c>
      <c r="C63" s="214" t="str">
        <f>OUTRAS_AUSENCIAS_DESCRICAO</f>
        <v>Outras Ausências (Especificar - em %)</v>
      </c>
      <c r="D63" s="187"/>
      <c r="E63" s="45">
        <f>PERC_SUBSTITUTO_OUTRAS_AUSENCIAS</f>
        <v>0</v>
      </c>
      <c r="F63" s="29">
        <f>PERC_SUBSTITUTO_OUTRAS_AUSENCIAS%*(MOD_1_REMUNERACAO+MOD_2_ENCARGOS_BENEFICIOS+MOD_3_PROVISAO_RESCISAO)</f>
        <v>0</v>
      </c>
    </row>
    <row r="64" spans="2:6" s="76" customFormat="1" x14ac:dyDescent="0.3">
      <c r="B64" s="145" t="s">
        <v>40</v>
      </c>
      <c r="C64" s="146"/>
      <c r="D64" s="146"/>
      <c r="E64" s="147"/>
      <c r="F64" s="34">
        <f>SUM(F58:F63)</f>
        <v>0</v>
      </c>
    </row>
    <row r="65" spans="2:6" ht="7.5" customHeight="1" x14ac:dyDescent="0.3">
      <c r="B65" s="10"/>
      <c r="C65" s="7"/>
      <c r="D65" s="11"/>
      <c r="E65" s="8"/>
      <c r="F65" s="8"/>
    </row>
    <row r="66" spans="2:6" x14ac:dyDescent="0.3">
      <c r="B66" s="43" t="s">
        <v>65</v>
      </c>
      <c r="C66" s="6"/>
      <c r="D66" s="6"/>
      <c r="E66" s="13"/>
      <c r="F66" s="13"/>
    </row>
    <row r="67" spans="2:6" ht="15.75" customHeight="1" x14ac:dyDescent="0.3">
      <c r="B67" s="41">
        <v>5</v>
      </c>
      <c r="C67" s="148" t="s">
        <v>0</v>
      </c>
      <c r="D67" s="148"/>
      <c r="E67" s="148"/>
      <c r="F67" s="42" t="s">
        <v>13</v>
      </c>
    </row>
    <row r="68" spans="2:6" x14ac:dyDescent="0.3">
      <c r="B68" s="37" t="s">
        <v>2</v>
      </c>
      <c r="C68" s="149" t="s">
        <v>16</v>
      </c>
      <c r="D68" s="149"/>
      <c r="E68" s="149"/>
      <c r="F68" s="49">
        <f>UNIFORMES</f>
        <v>0</v>
      </c>
    </row>
    <row r="69" spans="2:6" x14ac:dyDescent="0.3">
      <c r="B69" s="37" t="s">
        <v>3</v>
      </c>
      <c r="C69" s="215" t="str">
        <f>OUTROS_INSUMOS_DESCRICAO</f>
        <v>Outros (Especificar)</v>
      </c>
      <c r="D69" s="216"/>
      <c r="E69" s="216"/>
      <c r="F69" s="39">
        <f>OUTROS_INSUMOS</f>
        <v>0</v>
      </c>
    </row>
    <row r="70" spans="2:6" x14ac:dyDescent="0.3">
      <c r="B70" s="213" t="s">
        <v>40</v>
      </c>
      <c r="C70" s="213"/>
      <c r="D70" s="213"/>
      <c r="E70" s="213"/>
      <c r="F70" s="36">
        <f>SUM(F68:F69)</f>
        <v>0</v>
      </c>
    </row>
    <row r="71" spans="2:6" ht="7.5" customHeight="1" x14ac:dyDescent="0.3">
      <c r="B71" s="10"/>
      <c r="C71" s="7"/>
      <c r="D71" s="11"/>
      <c r="E71" s="8"/>
      <c r="F71" s="8"/>
    </row>
    <row r="72" spans="2:6" ht="15" customHeight="1" x14ac:dyDescent="0.3">
      <c r="B72" s="142" t="s">
        <v>64</v>
      </c>
      <c r="C72" s="142"/>
      <c r="D72" s="142"/>
      <c r="E72" s="142"/>
      <c r="F72" s="142"/>
    </row>
    <row r="73" spans="2:6" x14ac:dyDescent="0.3">
      <c r="B73" s="1">
        <v>6</v>
      </c>
      <c r="C73" s="186" t="s">
        <v>19</v>
      </c>
      <c r="D73" s="186"/>
      <c r="E73" s="3" t="s">
        <v>1</v>
      </c>
      <c r="F73" s="3" t="s">
        <v>13</v>
      </c>
    </row>
    <row r="74" spans="2:6" x14ac:dyDescent="0.3">
      <c r="B74" s="1" t="s">
        <v>2</v>
      </c>
      <c r="C74" s="185" t="s">
        <v>66</v>
      </c>
      <c r="D74" s="185"/>
      <c r="E74" s="50">
        <f>PERC_CUSTOS_INDIRETOS</f>
        <v>0</v>
      </c>
      <c r="F74" s="47">
        <f>PERC_CUSTOS_INDIRETOS%*(MOD_1_REMUNERACAO+MOD_2_ENCARGOS_BENEFICIOS+MOD_3_PROVISAO_RESCISAO+SUBMOD_4_1_SUBSTITUTO+MOD_5_INSUMOS)</f>
        <v>0</v>
      </c>
    </row>
    <row r="75" spans="2:6" ht="15.75" customHeight="1" x14ac:dyDescent="0.3">
      <c r="B75" s="2" t="s">
        <v>3</v>
      </c>
      <c r="C75" s="187" t="s">
        <v>26</v>
      </c>
      <c r="D75" s="187"/>
      <c r="E75" s="40">
        <f>PERC_LUCRO</f>
        <v>0</v>
      </c>
      <c r="F75" s="29">
        <f>PERC_LUCRO%*(MOD_1_REMUNERACAO+MOD_2_ENCARGOS_BENEFICIOS+MOD_3_PROVISAO_RESCISAO+SUBMOD_4_1_SUBSTITUTO+MOD_5_INSUMOS+AL_6_A_CUSTOS_INDIRETOS)</f>
        <v>0</v>
      </c>
    </row>
    <row r="76" spans="2:6" x14ac:dyDescent="0.3">
      <c r="B76" s="2" t="s">
        <v>4</v>
      </c>
      <c r="C76" s="185" t="s">
        <v>20</v>
      </c>
      <c r="D76" s="185"/>
      <c r="E76" s="50">
        <f>SUM(E77:E79)</f>
        <v>0</v>
      </c>
      <c r="F76" s="47">
        <f>SUM(F77:F79)</f>
        <v>0</v>
      </c>
    </row>
    <row r="77" spans="2:6" ht="15.75" customHeight="1" x14ac:dyDescent="0.3">
      <c r="B77" s="24" t="s">
        <v>67</v>
      </c>
      <c r="C77" s="217" t="s">
        <v>21</v>
      </c>
      <c r="D77" s="217"/>
      <c r="E77" s="25">
        <f>PERC_PIS</f>
        <v>0</v>
      </c>
      <c r="F77" s="52">
        <f>((MOD_1_REMUNERACAO+MOD_2_ENCARGOS_BENEFICIOS+MOD_3_PROVISAO_RESCISAO+SUBMOD_4_1_SUBSTITUTO+MOD_5_INSUMOS+AL_6_A_CUSTOS_INDIRETOS+AL_6_B_LUCRO)*PERC_PIS%)/(1-PERC_TRIBUTOS%)</f>
        <v>0</v>
      </c>
    </row>
    <row r="78" spans="2:6" x14ac:dyDescent="0.3">
      <c r="B78" s="24" t="s">
        <v>68</v>
      </c>
      <c r="C78" s="218" t="s">
        <v>22</v>
      </c>
      <c r="D78" s="218"/>
      <c r="E78" s="51">
        <f>PERC_COFINS</f>
        <v>0</v>
      </c>
      <c r="F78" s="53">
        <f>((MOD_1_REMUNERACAO+MOD_2_ENCARGOS_BENEFICIOS+MOD_3_PROVISAO_RESCISAO+SUBMOD_4_1_SUBSTITUTO+MOD_5_INSUMOS+AL_6_A_CUSTOS_INDIRETOS+AL_6_B_LUCRO)*PERC_COFINS%)/(1-PERC_TRIBUTOS%)</f>
        <v>0</v>
      </c>
    </row>
    <row r="79" spans="2:6" s="84" customFormat="1" x14ac:dyDescent="0.3">
      <c r="B79" s="24" t="s">
        <v>69</v>
      </c>
      <c r="C79" s="217" t="s">
        <v>23</v>
      </c>
      <c r="D79" s="217"/>
      <c r="E79" s="25">
        <f>PERC_ISS</f>
        <v>0</v>
      </c>
      <c r="F79" s="52">
        <f>((MOD_1_REMUNERACAO+MOD_2_ENCARGOS_BENEFICIOS+MOD_3_PROVISAO_RESCISAO+SUBMOD_4_1_SUBSTITUTO+MOD_5_INSUMOS+AL_6_A_CUSTOS_INDIRETOS+AL_6_B_LUCRO)*PERC_ISS%)/(1-PERC_TRIBUTOS%)</f>
        <v>0</v>
      </c>
    </row>
    <row r="80" spans="2:6" s="84" customFormat="1" x14ac:dyDescent="0.3">
      <c r="B80" s="145" t="s">
        <v>40</v>
      </c>
      <c r="C80" s="146"/>
      <c r="D80" s="146"/>
      <c r="E80" s="147"/>
      <c r="F80" s="30">
        <f>AL_6_A_CUSTOS_INDIRETOS+AL_6_B_LUCRO+AL_6_C_TRIBUTOS</f>
        <v>0</v>
      </c>
    </row>
    <row r="81" spans="2:6" s="84" customFormat="1" ht="20.25" x14ac:dyDescent="0.3">
      <c r="B81" s="44" t="s">
        <v>47</v>
      </c>
      <c r="C81" s="9"/>
      <c r="D81" s="9"/>
      <c r="E81" s="9"/>
      <c r="F81" s="16"/>
    </row>
    <row r="82" spans="2:6" s="85" customFormat="1" ht="16.5" customHeight="1" x14ac:dyDescent="0.3">
      <c r="B82" s="2" t="s">
        <v>82</v>
      </c>
      <c r="C82" s="153" t="s">
        <v>83</v>
      </c>
      <c r="D82" s="154"/>
      <c r="E82" s="155"/>
      <c r="F82" s="3" t="s">
        <v>17</v>
      </c>
    </row>
    <row r="83" spans="2:6" s="84" customFormat="1" x14ac:dyDescent="0.3">
      <c r="B83" s="1">
        <v>1</v>
      </c>
      <c r="C83" s="185" t="s">
        <v>9</v>
      </c>
      <c r="D83" s="185"/>
      <c r="E83" s="185"/>
      <c r="F83" s="47">
        <f>MOD_1_REMUNERACAO</f>
        <v>0</v>
      </c>
    </row>
    <row r="84" spans="2:6" s="86" customFormat="1" ht="16.5" customHeight="1" x14ac:dyDescent="0.3">
      <c r="B84" s="2">
        <v>2</v>
      </c>
      <c r="C84" s="187" t="s">
        <v>84</v>
      </c>
      <c r="D84" s="187"/>
      <c r="E84" s="187"/>
      <c r="F84" s="29">
        <f>MOD_2_ENCARGOS_BENEFICIOS</f>
        <v>0</v>
      </c>
    </row>
    <row r="85" spans="2:6" s="86" customFormat="1" x14ac:dyDescent="0.3">
      <c r="B85" s="2">
        <v>3</v>
      </c>
      <c r="C85" s="185" t="s">
        <v>42</v>
      </c>
      <c r="D85" s="185"/>
      <c r="E85" s="185"/>
      <c r="F85" s="47">
        <f>MOD_3_PROVISAO_RESCISAO</f>
        <v>0</v>
      </c>
    </row>
    <row r="86" spans="2:6" s="86" customFormat="1" x14ac:dyDescent="0.3">
      <c r="B86" s="2">
        <v>4</v>
      </c>
      <c r="C86" s="187" t="s">
        <v>45</v>
      </c>
      <c r="D86" s="187"/>
      <c r="E86" s="187"/>
      <c r="F86" s="29">
        <f>SUBMOD_4_1_SUBSTITUTO</f>
        <v>0</v>
      </c>
    </row>
    <row r="87" spans="2:6" s="86" customFormat="1" x14ac:dyDescent="0.3">
      <c r="B87" s="2">
        <v>5</v>
      </c>
      <c r="C87" s="185" t="s">
        <v>0</v>
      </c>
      <c r="D87" s="185"/>
      <c r="E87" s="185"/>
      <c r="F87" s="47">
        <f>MOD_5_INSUMOS</f>
        <v>0</v>
      </c>
    </row>
    <row r="88" spans="2:6" s="86" customFormat="1" x14ac:dyDescent="0.3">
      <c r="B88" s="2">
        <v>6</v>
      </c>
      <c r="C88" s="187" t="s">
        <v>19</v>
      </c>
      <c r="D88" s="187"/>
      <c r="E88" s="187"/>
      <c r="F88" s="29">
        <f>MOD_6_CUSTOS_IND_LUCRO_TRIB</f>
        <v>0</v>
      </c>
    </row>
    <row r="89" spans="2:6" ht="16.5" customHeight="1" x14ac:dyDescent="0.3">
      <c r="B89" s="184" t="s">
        <v>85</v>
      </c>
      <c r="C89" s="184"/>
      <c r="D89" s="184"/>
      <c r="E89" s="184"/>
      <c r="F89" s="30">
        <f>SUM(F83:F88)</f>
        <v>0</v>
      </c>
    </row>
    <row r="90" spans="2:6" ht="16.5" customHeight="1" x14ac:dyDescent="0.3">
      <c r="B90" s="184" t="s">
        <v>25</v>
      </c>
      <c r="C90" s="184"/>
      <c r="D90" s="184"/>
      <c r="E90" s="184"/>
      <c r="F90" s="30">
        <f>VALOR_TOTAL_EMPREGADO*EMPREG_POR_POSTO</f>
        <v>0</v>
      </c>
    </row>
    <row r="91" spans="2:6" x14ac:dyDescent="0.3">
      <c r="B91" s="184" t="s">
        <v>137</v>
      </c>
      <c r="C91" s="184"/>
      <c r="D91" s="184"/>
      <c r="E91" s="184"/>
      <c r="F91" s="30">
        <f>VALOR_TOTAL_EMPREGADO*EMPREG_POR_POSTO*QTDE_POSTOS</f>
        <v>0</v>
      </c>
    </row>
  </sheetData>
  <mergeCells count="81">
    <mergeCell ref="C84:E84"/>
    <mergeCell ref="B72:F72"/>
    <mergeCell ref="C73:D73"/>
    <mergeCell ref="C74:D74"/>
    <mergeCell ref="C75:D75"/>
    <mergeCell ref="C76:D76"/>
    <mergeCell ref="C77:D77"/>
    <mergeCell ref="C78:D78"/>
    <mergeCell ref="C79:D79"/>
    <mergeCell ref="B80:E80"/>
    <mergeCell ref="C82:E82"/>
    <mergeCell ref="C83:E83"/>
    <mergeCell ref="B91:E91"/>
    <mergeCell ref="C85:E85"/>
    <mergeCell ref="C86:E86"/>
    <mergeCell ref="C87:E87"/>
    <mergeCell ref="C88:E88"/>
    <mergeCell ref="B89:E89"/>
    <mergeCell ref="B90:E90"/>
    <mergeCell ref="B70:E70"/>
    <mergeCell ref="C62:D62"/>
    <mergeCell ref="C63:D63"/>
    <mergeCell ref="B64:E64"/>
    <mergeCell ref="C67:E67"/>
    <mergeCell ref="C68:E68"/>
    <mergeCell ref="C69:E69"/>
    <mergeCell ref="C61:D61"/>
    <mergeCell ref="C50:D50"/>
    <mergeCell ref="C52:D52"/>
    <mergeCell ref="C51:D51"/>
    <mergeCell ref="B53:E53"/>
    <mergeCell ref="C57:D57"/>
    <mergeCell ref="C58:D58"/>
    <mergeCell ref="C59:D59"/>
    <mergeCell ref="C60:D60"/>
    <mergeCell ref="C49:D49"/>
    <mergeCell ref="C38:D38"/>
    <mergeCell ref="C39:D39"/>
    <mergeCell ref="C40:D40"/>
    <mergeCell ref="B41:E41"/>
    <mergeCell ref="C43:E43"/>
    <mergeCell ref="C44:E44"/>
    <mergeCell ref="C45:E45"/>
    <mergeCell ref="C46:E46"/>
    <mergeCell ref="B47:E47"/>
    <mergeCell ref="C37:D37"/>
    <mergeCell ref="B24:E24"/>
    <mergeCell ref="C27:D27"/>
    <mergeCell ref="C28:D28"/>
    <mergeCell ref="C29:D29"/>
    <mergeCell ref="B30:E30"/>
    <mergeCell ref="B31:F31"/>
    <mergeCell ref="C32:D32"/>
    <mergeCell ref="C33:D33"/>
    <mergeCell ref="C34:D34"/>
    <mergeCell ref="C35:D35"/>
    <mergeCell ref="C36:D36"/>
    <mergeCell ref="C23:E23"/>
    <mergeCell ref="C10:E10"/>
    <mergeCell ref="C11:E11"/>
    <mergeCell ref="C12:E12"/>
    <mergeCell ref="C14:D14"/>
    <mergeCell ref="E14:F14"/>
    <mergeCell ref="D15:F15"/>
    <mergeCell ref="D16:F16"/>
    <mergeCell ref="C17:E17"/>
    <mergeCell ref="B18:F18"/>
    <mergeCell ref="B19:E19"/>
    <mergeCell ref="C21:E21"/>
    <mergeCell ref="C22:E22"/>
    <mergeCell ref="B6:C6"/>
    <mergeCell ref="D6:E6"/>
    <mergeCell ref="B7:F7"/>
    <mergeCell ref="C8:E8"/>
    <mergeCell ref="D9:F9"/>
    <mergeCell ref="B1:F1"/>
    <mergeCell ref="B2:D2"/>
    <mergeCell ref="B3:F3"/>
    <mergeCell ref="B4:F4"/>
    <mergeCell ref="B5:C5"/>
    <mergeCell ref="D5:F5"/>
  </mergeCells>
  <printOptions horizontalCentered="1"/>
  <pageMargins left="0.08" right="0.05" top="0.19685039370078741" bottom="0.15748031496062992" header="0.19685039370078741" footer="0.15748031496062992"/>
  <pageSetup paperSize="9" orientation="portrait" r:id="rId1"/>
  <rowBreaks count="1" manualBreakCount="1">
    <brk id="47" min="1" max="5" man="1"/>
  </rowBreaks>
  <ignoredErrors>
    <ignoredError sqref="B1:F1 B13:F13 B4:F4 C3:F3 B2:F2 B10:F11 B9:D9 E9:F9 B12:E12 C17:F17 B14:D14 F14 B15:C15 E15:F15 C16 E16:F16 B7:F8 C6:F6 C5:F5"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F9DBF-9679-433D-9B4C-61E0AE8AA2F6}">
  <dimension ref="B1:T91"/>
  <sheetViews>
    <sheetView view="pageBreakPreview" topLeftCell="O87" zoomScaleNormal="100" zoomScaleSheetLayoutView="100" workbookViewId="0">
      <selection activeCell="P1" sqref="P1:T91"/>
    </sheetView>
  </sheetViews>
  <sheetFormatPr defaultColWidth="9.140625" defaultRowHeight="16.5" x14ac:dyDescent="0.3"/>
  <cols>
    <col min="1" max="1" width="2.7109375" style="7" customWidth="1"/>
    <col min="2" max="2" width="8.85546875" style="7" customWidth="1"/>
    <col min="3" max="3" width="52.5703125" style="12" customWidth="1"/>
    <col min="4" max="4" width="7.85546875" style="12" customWidth="1"/>
    <col min="5" max="5" width="13.5703125" style="12" customWidth="1"/>
    <col min="6" max="6" width="16.7109375" style="12" customWidth="1"/>
    <col min="7" max="7" width="9.140625" style="7"/>
    <col min="8" max="8" width="9.140625" style="7" customWidth="1"/>
    <col min="9" max="9" width="8.85546875" style="7" customWidth="1"/>
    <col min="10" max="10" width="52.5703125" style="12" customWidth="1"/>
    <col min="11" max="11" width="7.85546875" style="12" customWidth="1"/>
    <col min="12" max="12" width="13.5703125" style="12" customWidth="1"/>
    <col min="13" max="13" width="17.7109375" style="12" customWidth="1"/>
    <col min="14" max="15" width="9.140625" style="7" customWidth="1"/>
    <col min="16" max="16" width="8.85546875" style="7" customWidth="1"/>
    <col min="17" max="17" width="52.5703125" style="12" customWidth="1"/>
    <col min="18" max="18" width="7.85546875" style="12" customWidth="1"/>
    <col min="19" max="19" width="13.5703125" style="12" customWidth="1"/>
    <col min="20" max="20" width="16.85546875" style="12" customWidth="1"/>
    <col min="21" max="16384" width="9.140625" style="7"/>
  </cols>
  <sheetData>
    <row r="1" spans="2:20" ht="20.25" x14ac:dyDescent="0.35">
      <c r="B1" s="191" t="str">
        <f>RAMO</f>
        <v>RAMO:</v>
      </c>
      <c r="C1" s="192"/>
      <c r="D1" s="192"/>
      <c r="E1" s="192"/>
      <c r="F1" s="193"/>
      <c r="I1" s="191" t="str">
        <f>RAMO</f>
        <v>RAMO:</v>
      </c>
      <c r="J1" s="192"/>
      <c r="K1" s="192"/>
      <c r="L1" s="192"/>
      <c r="M1" s="193"/>
      <c r="P1" s="191" t="str">
        <f>RAMO</f>
        <v>RAMO:</v>
      </c>
      <c r="Q1" s="192"/>
      <c r="R1" s="192"/>
      <c r="S1" s="192"/>
      <c r="T1" s="193"/>
    </row>
    <row r="2" spans="2:20" ht="20.25" x14ac:dyDescent="0.35">
      <c r="B2" s="194" t="str">
        <f>UG</f>
        <v>UNIDADE GESTORA (SIGLA):</v>
      </c>
      <c r="C2" s="195"/>
      <c r="D2" s="196"/>
      <c r="E2" s="74" t="s">
        <v>48</v>
      </c>
      <c r="F2" s="75" t="str">
        <f>DATA_DO_ORCAMENTO_ESTIMATIVO</f>
        <v>XX/XX/20XX</v>
      </c>
      <c r="I2" s="194" t="str">
        <f>UG</f>
        <v>UNIDADE GESTORA (SIGLA):</v>
      </c>
      <c r="J2" s="195"/>
      <c r="K2" s="196"/>
      <c r="L2" s="74" t="s">
        <v>48</v>
      </c>
      <c r="M2" s="75" t="str">
        <f>DATA_DO_ORCAMENTO_ESTIMATIVO</f>
        <v>XX/XX/20XX</v>
      </c>
      <c r="P2" s="194" t="str">
        <f>UG</f>
        <v>UNIDADE GESTORA (SIGLA):</v>
      </c>
      <c r="Q2" s="195"/>
      <c r="R2" s="196"/>
      <c r="S2" s="74" t="s">
        <v>48</v>
      </c>
      <c r="T2" s="75" t="str">
        <f>DATA_DO_ORCAMENTO_ESTIMATIVO</f>
        <v>XX/XX/20XX</v>
      </c>
    </row>
    <row r="3" spans="2:20" s="76" customFormat="1" ht="25.5" x14ac:dyDescent="0.5">
      <c r="B3" s="166" t="s">
        <v>138</v>
      </c>
      <c r="C3" s="166"/>
      <c r="D3" s="166"/>
      <c r="E3" s="166"/>
      <c r="F3" s="166"/>
      <c r="I3" s="166" t="s">
        <v>138</v>
      </c>
      <c r="J3" s="166"/>
      <c r="K3" s="166"/>
      <c r="L3" s="166"/>
      <c r="M3" s="166"/>
      <c r="P3" s="166" t="s">
        <v>138</v>
      </c>
      <c r="Q3" s="166"/>
      <c r="R3" s="166"/>
      <c r="S3" s="166"/>
      <c r="T3" s="166"/>
    </row>
    <row r="4" spans="2:20" s="76" customFormat="1" ht="15.95" customHeight="1" x14ac:dyDescent="0.3">
      <c r="B4" s="133" t="s">
        <v>81</v>
      </c>
      <c r="C4" s="133"/>
      <c r="D4" s="133"/>
      <c r="E4" s="133"/>
      <c r="F4" s="133"/>
      <c r="I4" s="133" t="s">
        <v>81</v>
      </c>
      <c r="J4" s="133"/>
      <c r="K4" s="133"/>
      <c r="L4" s="133"/>
      <c r="M4" s="133"/>
      <c r="P4" s="133" t="s">
        <v>81</v>
      </c>
      <c r="Q4" s="133"/>
      <c r="R4" s="133"/>
      <c r="S4" s="133"/>
      <c r="T4" s="133"/>
    </row>
    <row r="5" spans="2:20" s="76" customFormat="1" ht="15.95" customHeight="1" x14ac:dyDescent="0.3">
      <c r="B5" s="167" t="s">
        <v>156</v>
      </c>
      <c r="C5" s="167"/>
      <c r="D5" s="197" t="str">
        <f>NUMERO_PROCESSO</f>
        <v>X.XX.XXX.XXXXXX/20XX-XX</v>
      </c>
      <c r="E5" s="197"/>
      <c r="F5" s="197"/>
      <c r="I5" s="167" t="s">
        <v>156</v>
      </c>
      <c r="J5" s="167"/>
      <c r="K5" s="197" t="str">
        <f>NUMERO_PROCESSO</f>
        <v>X.XX.XXX.XXXXXX/20XX-XX</v>
      </c>
      <c r="L5" s="197"/>
      <c r="M5" s="197"/>
      <c r="P5" s="167" t="s">
        <v>156</v>
      </c>
      <c r="Q5" s="167"/>
      <c r="R5" s="197" t="str">
        <f>NUMERO_PROCESSO</f>
        <v>X.XX.XXX.XXXXXX/20XX-XX</v>
      </c>
      <c r="S5" s="197"/>
      <c r="T5" s="197"/>
    </row>
    <row r="6" spans="2:20" s="76" customFormat="1" ht="15.75" customHeight="1" x14ac:dyDescent="0.3">
      <c r="B6" s="171" t="s">
        <v>157</v>
      </c>
      <c r="C6" s="171"/>
      <c r="D6" s="198" t="str">
        <f>MODALIDADE_DE_LICITACAO</f>
        <v>Pregão nº</v>
      </c>
      <c r="E6" s="198"/>
      <c r="F6" s="99" t="str">
        <f>NUMERO_PREGAO</f>
        <v>XX/20XX</v>
      </c>
      <c r="I6" s="171" t="s">
        <v>157</v>
      </c>
      <c r="J6" s="171"/>
      <c r="K6" s="198" t="str">
        <f>MODALIDADE_DE_LICITACAO</f>
        <v>Pregão nº</v>
      </c>
      <c r="L6" s="198"/>
      <c r="M6" s="99" t="str">
        <f>NUMERO_PREGAO</f>
        <v>XX/20XX</v>
      </c>
      <c r="P6" s="171" t="s">
        <v>157</v>
      </c>
      <c r="Q6" s="171"/>
      <c r="R6" s="198" t="str">
        <f>MODALIDADE_DE_LICITACAO</f>
        <v>Pregão nº</v>
      </c>
      <c r="S6" s="198"/>
      <c r="T6" s="99" t="str">
        <f>NUMERO_PREGAO</f>
        <v>XX/20XX</v>
      </c>
    </row>
    <row r="7" spans="2:20" s="76" customFormat="1" ht="15.75" customHeight="1" x14ac:dyDescent="0.3">
      <c r="B7" s="199" t="s">
        <v>49</v>
      </c>
      <c r="C7" s="199"/>
      <c r="D7" s="199"/>
      <c r="E7" s="199"/>
      <c r="F7" s="199"/>
      <c r="I7" s="199" t="s">
        <v>49</v>
      </c>
      <c r="J7" s="199"/>
      <c r="K7" s="199"/>
      <c r="L7" s="199"/>
      <c r="M7" s="199"/>
      <c r="P7" s="199" t="s">
        <v>49</v>
      </c>
      <c r="Q7" s="199"/>
      <c r="R7" s="199"/>
      <c r="S7" s="199"/>
      <c r="T7" s="199"/>
    </row>
    <row r="8" spans="2:20" s="76" customFormat="1" ht="18" customHeight="1" x14ac:dyDescent="0.3">
      <c r="B8" s="18" t="s">
        <v>2</v>
      </c>
      <c r="C8" s="167" t="s">
        <v>54</v>
      </c>
      <c r="D8" s="167"/>
      <c r="E8" s="167"/>
      <c r="F8" s="77" t="str">
        <f>DATA_APRESENTACAO_PROPOSTA</f>
        <v>XX/XX/20XX</v>
      </c>
      <c r="I8" s="18" t="s">
        <v>2</v>
      </c>
      <c r="J8" s="167" t="s">
        <v>54</v>
      </c>
      <c r="K8" s="167"/>
      <c r="L8" s="167"/>
      <c r="M8" s="77" t="str">
        <f>DATA_APRESENTACAO_PROPOSTA</f>
        <v>XX/XX/20XX</v>
      </c>
      <c r="P8" s="18" t="s">
        <v>2</v>
      </c>
      <c r="Q8" s="167" t="s">
        <v>54</v>
      </c>
      <c r="R8" s="167"/>
      <c r="S8" s="167"/>
      <c r="T8" s="77" t="str">
        <f>DATA_APRESENTACAO_PROPOSTA</f>
        <v>XX/XX/20XX</v>
      </c>
    </row>
    <row r="9" spans="2:20" s="76" customFormat="1" ht="15.95" customHeight="1" x14ac:dyDescent="0.15">
      <c r="B9" s="1" t="s">
        <v>3</v>
      </c>
      <c r="C9" s="56" t="s">
        <v>30</v>
      </c>
      <c r="D9" s="200" t="str">
        <f>IF(LOCAL_DE_EXECUCAO="","",LOCAL_DE_EXECUCAO)</f>
        <v/>
      </c>
      <c r="E9" s="200"/>
      <c r="F9" s="200"/>
      <c r="I9" s="1" t="s">
        <v>3</v>
      </c>
      <c r="J9" s="56" t="s">
        <v>30</v>
      </c>
      <c r="K9" s="200" t="str">
        <f>IF(LOCAL_DE_EXECUCAO="","",LOCAL_DE_EXECUCAO)</f>
        <v/>
      </c>
      <c r="L9" s="200"/>
      <c r="M9" s="200"/>
      <c r="P9" s="1" t="s">
        <v>3</v>
      </c>
      <c r="Q9" s="56" t="s">
        <v>30</v>
      </c>
      <c r="R9" s="200" t="str">
        <f>IF(LOCAL_DE_EXECUCAO="","",LOCAL_DE_EXECUCAO)</f>
        <v/>
      </c>
      <c r="S9" s="200"/>
      <c r="T9" s="200"/>
    </row>
    <row r="10" spans="2:20" s="76" customFormat="1" ht="18.75" customHeight="1" x14ac:dyDescent="0.3">
      <c r="B10" s="18" t="s">
        <v>4</v>
      </c>
      <c r="C10" s="167" t="s">
        <v>31</v>
      </c>
      <c r="D10" s="167"/>
      <c r="E10" s="167"/>
      <c r="F10" s="78" t="str">
        <f>ACORDO_COLETIVO</f>
        <v>XX/20XX</v>
      </c>
      <c r="I10" s="18" t="s">
        <v>4</v>
      </c>
      <c r="J10" s="167" t="s">
        <v>31</v>
      </c>
      <c r="K10" s="167"/>
      <c r="L10" s="167"/>
      <c r="M10" s="78" t="str">
        <f>ACORDO_COLETIVO</f>
        <v>XX/20XX</v>
      </c>
      <c r="P10" s="18" t="s">
        <v>4</v>
      </c>
      <c r="Q10" s="167" t="s">
        <v>31</v>
      </c>
      <c r="R10" s="167"/>
      <c r="S10" s="167"/>
      <c r="T10" s="78" t="str">
        <f>ACORDO_COLETIVO</f>
        <v>XX/20XX</v>
      </c>
    </row>
    <row r="11" spans="2:20" s="76" customFormat="1" ht="15.95" customHeight="1" x14ac:dyDescent="0.3">
      <c r="B11" s="1" t="s">
        <v>5</v>
      </c>
      <c r="C11" s="200" t="s">
        <v>55</v>
      </c>
      <c r="D11" s="200"/>
      <c r="E11" s="200"/>
      <c r="F11" s="23">
        <f>NUMERO_MESES_EXEC_CONTRATUAL</f>
        <v>12</v>
      </c>
      <c r="I11" s="1" t="s">
        <v>5</v>
      </c>
      <c r="J11" s="200" t="s">
        <v>55</v>
      </c>
      <c r="K11" s="200"/>
      <c r="L11" s="200"/>
      <c r="M11" s="23">
        <f>NUMERO_MESES_EXEC_CONTRATUAL</f>
        <v>12</v>
      </c>
      <c r="P11" s="1" t="s">
        <v>5</v>
      </c>
      <c r="Q11" s="200" t="s">
        <v>55</v>
      </c>
      <c r="R11" s="200"/>
      <c r="S11" s="200"/>
      <c r="T11" s="23">
        <f>NUMERO_MESES_EXEC_CONTRATUAL</f>
        <v>12</v>
      </c>
    </row>
    <row r="12" spans="2:20" s="76" customFormat="1" x14ac:dyDescent="0.3">
      <c r="B12" s="1" t="s">
        <v>6</v>
      </c>
      <c r="C12" s="204" t="s">
        <v>70</v>
      </c>
      <c r="D12" s="204"/>
      <c r="E12" s="204"/>
      <c r="F12" s="54">
        <f>'INSERÇÃO DE DADOS (POSTOS)'!F19</f>
        <v>5</v>
      </c>
      <c r="I12" s="1" t="s">
        <v>6</v>
      </c>
      <c r="J12" s="204" t="s">
        <v>70</v>
      </c>
      <c r="K12" s="204"/>
      <c r="L12" s="204"/>
      <c r="M12" s="54">
        <v>1</v>
      </c>
      <c r="P12" s="1" t="s">
        <v>6</v>
      </c>
      <c r="Q12" s="204" t="s">
        <v>70</v>
      </c>
      <c r="R12" s="204"/>
      <c r="S12" s="204"/>
      <c r="T12" s="54">
        <v>1</v>
      </c>
    </row>
    <row r="13" spans="2:20" s="81" customFormat="1" ht="15" customHeight="1" x14ac:dyDescent="0.2">
      <c r="B13" s="79" t="s">
        <v>135</v>
      </c>
      <c r="C13" s="80"/>
      <c r="D13" s="80"/>
      <c r="E13" s="80"/>
      <c r="F13" s="80"/>
      <c r="I13" s="79" t="s">
        <v>135</v>
      </c>
      <c r="J13" s="80"/>
      <c r="K13" s="80"/>
      <c r="L13" s="80"/>
      <c r="M13" s="80"/>
      <c r="P13" s="79" t="s">
        <v>135</v>
      </c>
      <c r="Q13" s="80"/>
      <c r="R13" s="80"/>
      <c r="S13" s="80"/>
      <c r="T13" s="80"/>
    </row>
    <row r="14" spans="2:20" s="76" customFormat="1" x14ac:dyDescent="0.3">
      <c r="B14" s="18">
        <v>1</v>
      </c>
      <c r="C14" s="136" t="s">
        <v>51</v>
      </c>
      <c r="D14" s="136"/>
      <c r="E14" s="219" t="s">
        <v>212</v>
      </c>
      <c r="F14" s="205"/>
      <c r="I14" s="18">
        <v>1</v>
      </c>
      <c r="J14" s="136" t="s">
        <v>51</v>
      </c>
      <c r="K14" s="136"/>
      <c r="L14" s="205" t="s">
        <v>228</v>
      </c>
      <c r="M14" s="205"/>
      <c r="P14" s="18">
        <v>1</v>
      </c>
      <c r="Q14" s="136" t="s">
        <v>51</v>
      </c>
      <c r="R14" s="136"/>
      <c r="S14" s="205" t="s">
        <v>214</v>
      </c>
      <c r="T14" s="205"/>
    </row>
    <row r="15" spans="2:20" s="76" customFormat="1" x14ac:dyDescent="0.3">
      <c r="B15" s="18">
        <v>2</v>
      </c>
      <c r="C15" s="20" t="s">
        <v>50</v>
      </c>
      <c r="D15" s="206" t="str">
        <f>IF(CBO="","",CBO)</f>
        <v/>
      </c>
      <c r="E15" s="206"/>
      <c r="F15" s="206"/>
      <c r="I15" s="18">
        <v>2</v>
      </c>
      <c r="J15" s="20" t="s">
        <v>50</v>
      </c>
      <c r="K15" s="206" t="str">
        <f>IF(CBO="","",CBO)</f>
        <v/>
      </c>
      <c r="L15" s="206"/>
      <c r="M15" s="206"/>
      <c r="P15" s="18">
        <v>2</v>
      </c>
      <c r="Q15" s="20" t="s">
        <v>50</v>
      </c>
      <c r="R15" s="206" t="str">
        <f>IF(CBO="","",CBO)</f>
        <v/>
      </c>
      <c r="S15" s="206"/>
      <c r="T15" s="206"/>
    </row>
    <row r="16" spans="2:20" s="76" customFormat="1" ht="15" customHeight="1" x14ac:dyDescent="0.3">
      <c r="B16" s="18">
        <v>3</v>
      </c>
      <c r="C16" s="95" t="s">
        <v>52</v>
      </c>
      <c r="D16" s="205" t="str">
        <f>IF(CATEGORIA_PROFISSIONAL="","",CATEGORIA_PROFISSIONAL)</f>
        <v/>
      </c>
      <c r="E16" s="205"/>
      <c r="F16" s="205"/>
      <c r="I16" s="18">
        <v>3</v>
      </c>
      <c r="J16" s="95" t="s">
        <v>52</v>
      </c>
      <c r="K16" s="205" t="str">
        <f>IF(CATEGORIA_PROFISSIONAL="","",CATEGORIA_PROFISSIONAL)</f>
        <v/>
      </c>
      <c r="L16" s="205"/>
      <c r="M16" s="205"/>
      <c r="P16" s="18">
        <v>3</v>
      </c>
      <c r="Q16" s="95" t="s">
        <v>52</v>
      </c>
      <c r="R16" s="205" t="str">
        <f>IF(CATEGORIA_PROFISSIONAL="","",CATEGORIA_PROFISSIONAL)</f>
        <v/>
      </c>
      <c r="S16" s="205"/>
      <c r="T16" s="205"/>
    </row>
    <row r="17" spans="2:20" s="76" customFormat="1" ht="15" customHeight="1" x14ac:dyDescent="0.3">
      <c r="B17" s="18">
        <v>4</v>
      </c>
      <c r="C17" s="135" t="s">
        <v>53</v>
      </c>
      <c r="D17" s="135"/>
      <c r="E17" s="135"/>
      <c r="F17" s="96" t="str">
        <f>DATA_BASE_CATEGORIA</f>
        <v>XX/XX/20XX</v>
      </c>
      <c r="I17" s="18">
        <v>4</v>
      </c>
      <c r="J17" s="135" t="s">
        <v>53</v>
      </c>
      <c r="K17" s="135"/>
      <c r="L17" s="135"/>
      <c r="M17" s="96" t="str">
        <f>DATA_BASE_CATEGORIA</f>
        <v>XX/XX/20XX</v>
      </c>
      <c r="P17" s="18">
        <v>4</v>
      </c>
      <c r="Q17" s="135" t="s">
        <v>53</v>
      </c>
      <c r="R17" s="135"/>
      <c r="S17" s="135"/>
      <c r="T17" s="96" t="str">
        <f>DATA_BASE_CATEGORIA</f>
        <v>XX/XX/20XX</v>
      </c>
    </row>
    <row r="18" spans="2:20" s="82" customFormat="1" ht="20.25" customHeight="1" x14ac:dyDescent="0.3">
      <c r="B18" s="207" t="s">
        <v>34</v>
      </c>
      <c r="C18" s="207"/>
      <c r="D18" s="207"/>
      <c r="E18" s="207"/>
      <c r="F18" s="207"/>
      <c r="I18" s="207" t="s">
        <v>34</v>
      </c>
      <c r="J18" s="207"/>
      <c r="K18" s="207"/>
      <c r="L18" s="207"/>
      <c r="M18" s="207"/>
      <c r="P18" s="207" t="s">
        <v>34</v>
      </c>
      <c r="Q18" s="207"/>
      <c r="R18" s="207"/>
      <c r="S18" s="207"/>
      <c r="T18" s="207"/>
    </row>
    <row r="19" spans="2:20" x14ac:dyDescent="0.3">
      <c r="B19" s="186" t="s">
        <v>46</v>
      </c>
      <c r="C19" s="186"/>
      <c r="D19" s="186"/>
      <c r="E19" s="186"/>
      <c r="F19" s="87">
        <f>IF(EMPREG_POR_POSTO="","",EMPREG_POR_POSTO)</f>
        <v>1</v>
      </c>
      <c r="I19" s="186" t="s">
        <v>46</v>
      </c>
      <c r="J19" s="186"/>
      <c r="K19" s="186"/>
      <c r="L19" s="186"/>
      <c r="M19" s="87">
        <f>IF(EMPREG_POR_POSTO="","",EMPREG_POR_POSTO)</f>
        <v>1</v>
      </c>
      <c r="P19" s="186" t="s">
        <v>46</v>
      </c>
      <c r="Q19" s="186"/>
      <c r="R19" s="186"/>
      <c r="S19" s="186"/>
      <c r="T19" s="87">
        <f>IF(EMPREG_POR_POSTO="","",EMPREG_POR_POSTO)</f>
        <v>1</v>
      </c>
    </row>
    <row r="20" spans="2:20" x14ac:dyDescent="0.3">
      <c r="B20" s="43" t="s">
        <v>8</v>
      </c>
      <c r="E20" s="8"/>
      <c r="F20" s="8"/>
      <c r="I20" s="43" t="s">
        <v>8</v>
      </c>
      <c r="L20" s="8"/>
      <c r="M20" s="8"/>
      <c r="P20" s="43" t="s">
        <v>8</v>
      </c>
      <c r="S20" s="8"/>
      <c r="T20" s="8"/>
    </row>
    <row r="21" spans="2:20" x14ac:dyDescent="0.3">
      <c r="B21" s="1">
        <v>1</v>
      </c>
      <c r="C21" s="137" t="s">
        <v>9</v>
      </c>
      <c r="D21" s="137"/>
      <c r="E21" s="137"/>
      <c r="F21" s="3" t="s">
        <v>13</v>
      </c>
      <c r="I21" s="1">
        <v>1</v>
      </c>
      <c r="J21" s="137" t="s">
        <v>9</v>
      </c>
      <c r="K21" s="137"/>
      <c r="L21" s="137"/>
      <c r="M21" s="3" t="s">
        <v>13</v>
      </c>
      <c r="P21" s="1">
        <v>1</v>
      </c>
      <c r="Q21" s="137" t="s">
        <v>9</v>
      </c>
      <c r="R21" s="137"/>
      <c r="S21" s="137"/>
      <c r="T21" s="3" t="s">
        <v>13</v>
      </c>
    </row>
    <row r="22" spans="2:20" x14ac:dyDescent="0.3">
      <c r="B22" s="1" t="s">
        <v>2</v>
      </c>
      <c r="C22" s="162" t="s">
        <v>77</v>
      </c>
      <c r="D22" s="162"/>
      <c r="E22" s="162"/>
      <c r="F22" s="46">
        <f>SALARIO_BASE</f>
        <v>0</v>
      </c>
      <c r="I22" s="1" t="s">
        <v>2</v>
      </c>
      <c r="J22" s="162" t="s">
        <v>77</v>
      </c>
      <c r="K22" s="162"/>
      <c r="L22" s="162"/>
      <c r="M22" s="46">
        <f>SALARIO_BASE_EDITOR</f>
        <v>0</v>
      </c>
      <c r="P22" s="1" t="s">
        <v>2</v>
      </c>
      <c r="Q22" s="162" t="s">
        <v>77</v>
      </c>
      <c r="R22" s="162"/>
      <c r="S22" s="162"/>
      <c r="T22" s="46">
        <f>SALARIO_BASE_DIRETOR</f>
        <v>0</v>
      </c>
    </row>
    <row r="23" spans="2:20" x14ac:dyDescent="0.3">
      <c r="B23" s="1" t="s">
        <v>3</v>
      </c>
      <c r="C23" s="201" t="str">
        <f>OUTROS_REMUNERACAO_1_DESCRICAO</f>
        <v>Outras Remunerações (Especificar)</v>
      </c>
      <c r="D23" s="202"/>
      <c r="E23" s="203"/>
      <c r="F23" s="4">
        <f>OUTROS_REMUNERACAO_1</f>
        <v>0</v>
      </c>
      <c r="I23" s="1" t="s">
        <v>3</v>
      </c>
      <c r="J23" s="201" t="str">
        <f>OUTROS_REMUNERACAO_1_DESCRICAO</f>
        <v>Outras Remunerações (Especificar)</v>
      </c>
      <c r="K23" s="202"/>
      <c r="L23" s="203"/>
      <c r="M23" s="4">
        <f>OUTROS_REMUNERACAO_1_EDITOR</f>
        <v>0</v>
      </c>
      <c r="P23" s="1" t="s">
        <v>3</v>
      </c>
      <c r="Q23" s="201" t="str">
        <f>OUTROS_REMUNERACAO_1_DESCRICAO</f>
        <v>Outras Remunerações (Especificar)</v>
      </c>
      <c r="R23" s="202"/>
      <c r="S23" s="203"/>
      <c r="T23" s="4">
        <f>OUTROS_REMUNERACAO_1_DIRETOR</f>
        <v>0</v>
      </c>
    </row>
    <row r="24" spans="2:20" x14ac:dyDescent="0.3">
      <c r="B24" s="208" t="s">
        <v>40</v>
      </c>
      <c r="C24" s="208"/>
      <c r="D24" s="208"/>
      <c r="E24" s="208"/>
      <c r="F24" s="33">
        <f>SUM(F22:F23)</f>
        <v>0</v>
      </c>
      <c r="I24" s="208" t="s">
        <v>40</v>
      </c>
      <c r="J24" s="208"/>
      <c r="K24" s="208"/>
      <c r="L24" s="208"/>
      <c r="M24" s="33">
        <f>SUM(M22:M23)</f>
        <v>0</v>
      </c>
      <c r="P24" s="208" t="s">
        <v>40</v>
      </c>
      <c r="Q24" s="208"/>
      <c r="R24" s="208"/>
      <c r="S24" s="208"/>
      <c r="T24" s="33">
        <f>SUM(T22:T23)</f>
        <v>0</v>
      </c>
    </row>
    <row r="25" spans="2:20" x14ac:dyDescent="0.3">
      <c r="B25" s="43" t="s">
        <v>56</v>
      </c>
      <c r="E25" s="14"/>
      <c r="F25" s="14"/>
      <c r="I25" s="43" t="s">
        <v>56</v>
      </c>
      <c r="L25" s="14"/>
      <c r="M25" s="14"/>
      <c r="P25" s="43" t="s">
        <v>56</v>
      </c>
      <c r="S25" s="14"/>
      <c r="T25" s="14"/>
    </row>
    <row r="26" spans="2:20" x14ac:dyDescent="0.3">
      <c r="B26" s="43" t="s">
        <v>93</v>
      </c>
      <c r="C26" s="6"/>
      <c r="D26" s="15"/>
      <c r="E26" s="13"/>
      <c r="F26" s="13"/>
      <c r="I26" s="43" t="s">
        <v>93</v>
      </c>
      <c r="J26" s="6"/>
      <c r="K26" s="15"/>
      <c r="L26" s="13"/>
      <c r="M26" s="13"/>
      <c r="P26" s="43" t="s">
        <v>93</v>
      </c>
      <c r="Q26" s="6"/>
      <c r="R26" s="15"/>
      <c r="S26" s="13"/>
      <c r="T26" s="13"/>
    </row>
    <row r="27" spans="2:20" x14ac:dyDescent="0.3">
      <c r="B27" s="1" t="s">
        <v>57</v>
      </c>
      <c r="C27" s="186" t="s">
        <v>78</v>
      </c>
      <c r="D27" s="186"/>
      <c r="E27" s="3" t="s">
        <v>1</v>
      </c>
      <c r="F27" s="3" t="s">
        <v>13</v>
      </c>
      <c r="I27" s="1" t="s">
        <v>57</v>
      </c>
      <c r="J27" s="186" t="s">
        <v>78</v>
      </c>
      <c r="K27" s="186"/>
      <c r="L27" s="3" t="s">
        <v>1</v>
      </c>
      <c r="M27" s="3" t="s">
        <v>13</v>
      </c>
      <c r="P27" s="1" t="s">
        <v>57</v>
      </c>
      <c r="Q27" s="186" t="s">
        <v>78</v>
      </c>
      <c r="R27" s="186"/>
      <c r="S27" s="3" t="s">
        <v>1</v>
      </c>
      <c r="T27" s="3" t="s">
        <v>13</v>
      </c>
    </row>
    <row r="28" spans="2:20" x14ac:dyDescent="0.3">
      <c r="B28" s="1" t="s">
        <v>2</v>
      </c>
      <c r="C28" s="185" t="s">
        <v>41</v>
      </c>
      <c r="D28" s="185"/>
      <c r="E28" s="48">
        <f>PERC_DEC_TERC</f>
        <v>8.33</v>
      </c>
      <c r="F28" s="47">
        <f>PERC_DEC_TERC%*MOD_1_REMUNERACAO</f>
        <v>0</v>
      </c>
      <c r="I28" s="1" t="s">
        <v>2</v>
      </c>
      <c r="J28" s="185" t="s">
        <v>41</v>
      </c>
      <c r="K28" s="185"/>
      <c r="L28" s="48">
        <f>PERC_DEC_TERC</f>
        <v>8.33</v>
      </c>
      <c r="M28" s="47">
        <f>PERC_DEC_TERC%*M24</f>
        <v>0</v>
      </c>
      <c r="P28" s="1" t="s">
        <v>2</v>
      </c>
      <c r="Q28" s="185" t="s">
        <v>41</v>
      </c>
      <c r="R28" s="185"/>
      <c r="S28" s="48">
        <f>PERC_DEC_TERC</f>
        <v>8.33</v>
      </c>
      <c r="T28" s="47">
        <f>PERC_DEC_TERC%*T24</f>
        <v>0</v>
      </c>
    </row>
    <row r="29" spans="2:20" x14ac:dyDescent="0.3">
      <c r="B29" s="2" t="s">
        <v>3</v>
      </c>
      <c r="C29" s="187" t="s">
        <v>79</v>
      </c>
      <c r="D29" s="187"/>
      <c r="E29" s="31">
        <f>PERC_ADIC_FERIAS</f>
        <v>2.78</v>
      </c>
      <c r="F29" s="29">
        <f>PERC_ADIC_FERIAS%*MOD_1_REMUNERACAO</f>
        <v>0</v>
      </c>
      <c r="I29" s="2" t="s">
        <v>3</v>
      </c>
      <c r="J29" s="187" t="s">
        <v>79</v>
      </c>
      <c r="K29" s="187"/>
      <c r="L29" s="31">
        <f>PERC_ADIC_FERIAS</f>
        <v>2.78</v>
      </c>
      <c r="M29" s="29">
        <f>PERC_ADIC_FERIAS%*M24</f>
        <v>0</v>
      </c>
      <c r="P29" s="2" t="s">
        <v>3</v>
      </c>
      <c r="Q29" s="187" t="s">
        <v>79</v>
      </c>
      <c r="R29" s="187"/>
      <c r="S29" s="31">
        <f>PERC_ADIC_FERIAS</f>
        <v>2.78</v>
      </c>
      <c r="T29" s="29">
        <f>PERC_ADIC_FERIAS%*T24</f>
        <v>0</v>
      </c>
    </row>
    <row r="30" spans="2:20" s="83" customFormat="1" x14ac:dyDescent="0.3">
      <c r="B30" s="145" t="s">
        <v>40</v>
      </c>
      <c r="C30" s="146"/>
      <c r="D30" s="146"/>
      <c r="E30" s="147"/>
      <c r="F30" s="34">
        <f>SUM(F28:F29)</f>
        <v>0</v>
      </c>
      <c r="I30" s="145" t="s">
        <v>40</v>
      </c>
      <c r="J30" s="146"/>
      <c r="K30" s="146"/>
      <c r="L30" s="147"/>
      <c r="M30" s="34">
        <f>SUM(M28:M29)</f>
        <v>0</v>
      </c>
      <c r="P30" s="145" t="s">
        <v>40</v>
      </c>
      <c r="Q30" s="146"/>
      <c r="R30" s="146"/>
      <c r="S30" s="147"/>
      <c r="T30" s="34">
        <f>SUM(T28:T29)</f>
        <v>0</v>
      </c>
    </row>
    <row r="31" spans="2:20" s="83" customFormat="1" ht="31.5" customHeight="1" x14ac:dyDescent="0.3">
      <c r="B31" s="209" t="s">
        <v>58</v>
      </c>
      <c r="C31" s="209"/>
      <c r="D31" s="209"/>
      <c r="E31" s="209"/>
      <c r="F31" s="209"/>
      <c r="I31" s="209" t="s">
        <v>58</v>
      </c>
      <c r="J31" s="209"/>
      <c r="K31" s="209"/>
      <c r="L31" s="209"/>
      <c r="M31" s="209"/>
      <c r="P31" s="209" t="s">
        <v>58</v>
      </c>
      <c r="Q31" s="209"/>
      <c r="R31" s="209"/>
      <c r="S31" s="209"/>
      <c r="T31" s="209"/>
    </row>
    <row r="32" spans="2:20" s="83" customFormat="1" ht="34.5" customHeight="1" x14ac:dyDescent="0.3">
      <c r="B32" s="1" t="s">
        <v>59</v>
      </c>
      <c r="C32" s="189" t="s">
        <v>80</v>
      </c>
      <c r="D32" s="189"/>
      <c r="E32" s="3" t="s">
        <v>1</v>
      </c>
      <c r="F32" s="3" t="s">
        <v>13</v>
      </c>
      <c r="I32" s="1" t="s">
        <v>59</v>
      </c>
      <c r="J32" s="189" t="s">
        <v>80</v>
      </c>
      <c r="K32" s="189"/>
      <c r="L32" s="3" t="s">
        <v>1</v>
      </c>
      <c r="M32" s="3" t="s">
        <v>13</v>
      </c>
      <c r="P32" s="1" t="s">
        <v>59</v>
      </c>
      <c r="Q32" s="189" t="s">
        <v>80</v>
      </c>
      <c r="R32" s="189"/>
      <c r="S32" s="3" t="s">
        <v>1</v>
      </c>
      <c r="T32" s="3" t="s">
        <v>13</v>
      </c>
    </row>
    <row r="33" spans="2:20" x14ac:dyDescent="0.3">
      <c r="B33" s="1" t="s">
        <v>2</v>
      </c>
      <c r="C33" s="185" t="s">
        <v>35</v>
      </c>
      <c r="D33" s="185"/>
      <c r="E33" s="48">
        <f>PERC_INSS</f>
        <v>20</v>
      </c>
      <c r="F33" s="47">
        <f>PERC_INSS%*(MOD_1_REMUNERACAO+SUBMOD_2_1_DEC_TERC_ADIC_FERIAS)</f>
        <v>0</v>
      </c>
      <c r="I33" s="1" t="s">
        <v>2</v>
      </c>
      <c r="J33" s="185" t="s">
        <v>35</v>
      </c>
      <c r="K33" s="185"/>
      <c r="L33" s="48">
        <f>PERC_INSS</f>
        <v>20</v>
      </c>
      <c r="M33" s="47">
        <f>PERC_INSS%*(M24+M30)</f>
        <v>0</v>
      </c>
      <c r="P33" s="1" t="s">
        <v>2</v>
      </c>
      <c r="Q33" s="185" t="s">
        <v>35</v>
      </c>
      <c r="R33" s="185"/>
      <c r="S33" s="48">
        <f>PERC_INSS</f>
        <v>20</v>
      </c>
      <c r="T33" s="47">
        <f>PERC_INSS%*(T24+T30)</f>
        <v>0</v>
      </c>
    </row>
    <row r="34" spans="2:20" s="76" customFormat="1" x14ac:dyDescent="0.15">
      <c r="B34" s="2" t="s">
        <v>3</v>
      </c>
      <c r="C34" s="187" t="s">
        <v>37</v>
      </c>
      <c r="D34" s="187"/>
      <c r="E34" s="38">
        <f>PERC_SAL_EDUCACAO</f>
        <v>2.5</v>
      </c>
      <c r="F34" s="29">
        <f>PERC_SAL_EDUCACAO%*(MOD_1_REMUNERACAO+SUBMOD_2_1_DEC_TERC_ADIC_FERIAS)</f>
        <v>0</v>
      </c>
      <c r="I34" s="2" t="s">
        <v>3</v>
      </c>
      <c r="J34" s="187" t="s">
        <v>37</v>
      </c>
      <c r="K34" s="187"/>
      <c r="L34" s="38">
        <f>PERC_SAL_EDUCACAO</f>
        <v>2.5</v>
      </c>
      <c r="M34" s="29">
        <f>PERC_SAL_EDUCACAO%*(M24+M30)</f>
        <v>0</v>
      </c>
      <c r="P34" s="2" t="s">
        <v>3</v>
      </c>
      <c r="Q34" s="187" t="s">
        <v>37</v>
      </c>
      <c r="R34" s="187"/>
      <c r="S34" s="38">
        <f>PERC_SAL_EDUCACAO</f>
        <v>2.5</v>
      </c>
      <c r="T34" s="29">
        <f>PERC_SAL_EDUCACAO%*(T24+T30)</f>
        <v>0</v>
      </c>
    </row>
    <row r="35" spans="2:20" s="76" customFormat="1" x14ac:dyDescent="0.15">
      <c r="B35" s="2" t="s">
        <v>4</v>
      </c>
      <c r="C35" s="185" t="s">
        <v>74</v>
      </c>
      <c r="D35" s="185"/>
      <c r="E35" s="48">
        <f>PERC_RAT</f>
        <v>3</v>
      </c>
      <c r="F35" s="47">
        <f>PERC_RAT%*(MOD_1_REMUNERACAO+SUBMOD_2_1_DEC_TERC_ADIC_FERIAS)</f>
        <v>0</v>
      </c>
      <c r="I35" s="2" t="s">
        <v>4</v>
      </c>
      <c r="J35" s="185" t="s">
        <v>74</v>
      </c>
      <c r="K35" s="185"/>
      <c r="L35" s="48">
        <f>PERC_RAT</f>
        <v>3</v>
      </c>
      <c r="M35" s="47">
        <f>PERC_RAT%*(M24+M30)</f>
        <v>0</v>
      </c>
      <c r="P35" s="2" t="s">
        <v>4</v>
      </c>
      <c r="Q35" s="185" t="s">
        <v>74</v>
      </c>
      <c r="R35" s="185"/>
      <c r="S35" s="48">
        <f>PERC_RAT</f>
        <v>3</v>
      </c>
      <c r="T35" s="47">
        <f>PERC_RAT%*(T24+T30)</f>
        <v>0</v>
      </c>
    </row>
    <row r="36" spans="2:20" s="76" customFormat="1" x14ac:dyDescent="0.15">
      <c r="B36" s="2" t="s">
        <v>5</v>
      </c>
      <c r="C36" s="187" t="s">
        <v>72</v>
      </c>
      <c r="D36" s="187"/>
      <c r="E36" s="31">
        <f>PERC_SESC</f>
        <v>1.5</v>
      </c>
      <c r="F36" s="29">
        <f>PERC_SESC%*(MOD_1_REMUNERACAO+SUBMOD_2_1_DEC_TERC_ADIC_FERIAS)</f>
        <v>0</v>
      </c>
      <c r="I36" s="2" t="s">
        <v>5</v>
      </c>
      <c r="J36" s="187" t="s">
        <v>72</v>
      </c>
      <c r="K36" s="187"/>
      <c r="L36" s="31">
        <f>PERC_SESC</f>
        <v>1.5</v>
      </c>
      <c r="M36" s="29">
        <f>PERC_SESC%*(M24+M30)</f>
        <v>0</v>
      </c>
      <c r="P36" s="2" t="s">
        <v>5</v>
      </c>
      <c r="Q36" s="187" t="s">
        <v>72</v>
      </c>
      <c r="R36" s="187"/>
      <c r="S36" s="31">
        <f>PERC_SESC</f>
        <v>1.5</v>
      </c>
      <c r="T36" s="29">
        <f>PERC_SESC%*(T24+T30)</f>
        <v>0</v>
      </c>
    </row>
    <row r="37" spans="2:20" s="76" customFormat="1" x14ac:dyDescent="0.15">
      <c r="B37" s="2" t="s">
        <v>6</v>
      </c>
      <c r="C37" s="185" t="s">
        <v>73</v>
      </c>
      <c r="D37" s="185"/>
      <c r="E37" s="48">
        <f>PERC_SENAC</f>
        <v>1</v>
      </c>
      <c r="F37" s="47">
        <f>PERC_SENAC%*(MOD_1_REMUNERACAO+SUBMOD_2_1_DEC_TERC_ADIC_FERIAS)</f>
        <v>0</v>
      </c>
      <c r="I37" s="2" t="s">
        <v>6</v>
      </c>
      <c r="J37" s="185" t="s">
        <v>73</v>
      </c>
      <c r="K37" s="185"/>
      <c r="L37" s="48">
        <f>PERC_SENAC</f>
        <v>1</v>
      </c>
      <c r="M37" s="47">
        <f>PERC_SENAC%*(M24+M30)</f>
        <v>0</v>
      </c>
      <c r="P37" s="2" t="s">
        <v>6</v>
      </c>
      <c r="Q37" s="185" t="s">
        <v>73</v>
      </c>
      <c r="R37" s="185"/>
      <c r="S37" s="48">
        <f>PERC_SENAC</f>
        <v>1</v>
      </c>
      <c r="T37" s="47">
        <f>PERC_SENAC%*(T24+T30)</f>
        <v>0</v>
      </c>
    </row>
    <row r="38" spans="2:20" s="76" customFormat="1" x14ac:dyDescent="0.15">
      <c r="B38" s="2" t="s">
        <v>7</v>
      </c>
      <c r="C38" s="187" t="s">
        <v>39</v>
      </c>
      <c r="D38" s="187"/>
      <c r="E38" s="38">
        <f>PERC_SEBRAE</f>
        <v>0.6</v>
      </c>
      <c r="F38" s="29">
        <f>PERC_SEBRAE%*(MOD_1_REMUNERACAO+SUBMOD_2_1_DEC_TERC_ADIC_FERIAS)</f>
        <v>0</v>
      </c>
      <c r="I38" s="2" t="s">
        <v>7</v>
      </c>
      <c r="J38" s="187" t="s">
        <v>39</v>
      </c>
      <c r="K38" s="187"/>
      <c r="L38" s="38">
        <f>PERC_SEBRAE</f>
        <v>0.6</v>
      </c>
      <c r="M38" s="29">
        <f>PERC_SEBRAE%*(M24+M30)</f>
        <v>0</v>
      </c>
      <c r="P38" s="2" t="s">
        <v>7</v>
      </c>
      <c r="Q38" s="187" t="s">
        <v>39</v>
      </c>
      <c r="R38" s="187"/>
      <c r="S38" s="38">
        <f>PERC_SEBRAE</f>
        <v>0.6</v>
      </c>
      <c r="T38" s="29">
        <f>PERC_SEBRAE%*(T24+T30)</f>
        <v>0</v>
      </c>
    </row>
    <row r="39" spans="2:20" s="76" customFormat="1" x14ac:dyDescent="0.15">
      <c r="B39" s="2" t="s">
        <v>10</v>
      </c>
      <c r="C39" s="185" t="s">
        <v>36</v>
      </c>
      <c r="D39" s="185"/>
      <c r="E39" s="48">
        <f>PERC_INCRA</f>
        <v>0.2</v>
      </c>
      <c r="F39" s="47">
        <f>PERC_INCRA%*(MOD_1_REMUNERACAO+SUBMOD_2_1_DEC_TERC_ADIC_FERIAS)</f>
        <v>0</v>
      </c>
      <c r="I39" s="2" t="s">
        <v>10</v>
      </c>
      <c r="J39" s="185" t="s">
        <v>36</v>
      </c>
      <c r="K39" s="185"/>
      <c r="L39" s="48">
        <f>PERC_INCRA</f>
        <v>0.2</v>
      </c>
      <c r="M39" s="47">
        <f>PERC_INCRA%*(M24+M30)</f>
        <v>0</v>
      </c>
      <c r="P39" s="2" t="s">
        <v>10</v>
      </c>
      <c r="Q39" s="185" t="s">
        <v>36</v>
      </c>
      <c r="R39" s="185"/>
      <c r="S39" s="48">
        <f>PERC_INCRA</f>
        <v>0.2</v>
      </c>
      <c r="T39" s="47">
        <f>PERC_INCRA%*(T24+T30)</f>
        <v>0</v>
      </c>
    </row>
    <row r="40" spans="2:20" x14ac:dyDescent="0.3">
      <c r="B40" s="2" t="s">
        <v>11</v>
      </c>
      <c r="C40" s="187" t="s">
        <v>38</v>
      </c>
      <c r="D40" s="187"/>
      <c r="E40" s="38">
        <f>PERC_FGTS</f>
        <v>8</v>
      </c>
      <c r="F40" s="29">
        <f>PERC_FGTS%*(MOD_1_REMUNERACAO+SUBMOD_2_1_DEC_TERC_ADIC_FERIAS)</f>
        <v>0</v>
      </c>
      <c r="I40" s="2" t="s">
        <v>11</v>
      </c>
      <c r="J40" s="187" t="s">
        <v>38</v>
      </c>
      <c r="K40" s="187"/>
      <c r="L40" s="38">
        <f>PERC_FGTS</f>
        <v>8</v>
      </c>
      <c r="M40" s="29">
        <f>PERC_FGTS%*(M24+M30)</f>
        <v>0</v>
      </c>
      <c r="P40" s="2" t="s">
        <v>11</v>
      </c>
      <c r="Q40" s="187" t="s">
        <v>38</v>
      </c>
      <c r="R40" s="187"/>
      <c r="S40" s="38">
        <f>PERC_FGTS</f>
        <v>8</v>
      </c>
      <c r="T40" s="29">
        <f>PERC_FGTS%*(T24+T30)</f>
        <v>0</v>
      </c>
    </row>
    <row r="41" spans="2:20" x14ac:dyDescent="0.3">
      <c r="B41" s="145" t="s">
        <v>40</v>
      </c>
      <c r="C41" s="146"/>
      <c r="D41" s="146"/>
      <c r="E41" s="147"/>
      <c r="F41" s="35">
        <f>SUM(F33:F40)</f>
        <v>0</v>
      </c>
      <c r="I41" s="145" t="s">
        <v>40</v>
      </c>
      <c r="J41" s="146"/>
      <c r="K41" s="146"/>
      <c r="L41" s="147"/>
      <c r="M41" s="35">
        <f>SUM(M33:M40)</f>
        <v>0</v>
      </c>
      <c r="P41" s="145" t="s">
        <v>40</v>
      </c>
      <c r="Q41" s="146"/>
      <c r="R41" s="146"/>
      <c r="S41" s="147"/>
      <c r="T41" s="35">
        <f>SUM(T33:T40)</f>
        <v>0</v>
      </c>
    </row>
    <row r="42" spans="2:20" ht="15.75" customHeight="1" x14ac:dyDescent="0.3">
      <c r="B42" s="43" t="s">
        <v>61</v>
      </c>
      <c r="C42" s="76"/>
      <c r="D42" s="76"/>
      <c r="E42" s="76"/>
      <c r="F42" s="76"/>
      <c r="I42" s="43" t="s">
        <v>61</v>
      </c>
      <c r="J42" s="76"/>
      <c r="K42" s="76"/>
      <c r="L42" s="76"/>
      <c r="M42" s="76"/>
      <c r="P42" s="43" t="s">
        <v>61</v>
      </c>
      <c r="Q42" s="76"/>
      <c r="R42" s="76"/>
      <c r="S42" s="76"/>
      <c r="T42" s="76"/>
    </row>
    <row r="43" spans="2:20" ht="15.75" customHeight="1" x14ac:dyDescent="0.3">
      <c r="B43" s="1" t="s">
        <v>75</v>
      </c>
      <c r="C43" s="137" t="s">
        <v>14</v>
      </c>
      <c r="D43" s="137"/>
      <c r="E43" s="137"/>
      <c r="F43" s="3" t="s">
        <v>13</v>
      </c>
      <c r="I43" s="1" t="s">
        <v>75</v>
      </c>
      <c r="J43" s="137" t="s">
        <v>14</v>
      </c>
      <c r="K43" s="137"/>
      <c r="L43" s="137"/>
      <c r="M43" s="3" t="s">
        <v>13</v>
      </c>
      <c r="P43" s="1" t="s">
        <v>75</v>
      </c>
      <c r="Q43" s="137" t="s">
        <v>14</v>
      </c>
      <c r="R43" s="137"/>
      <c r="S43" s="137"/>
      <c r="T43" s="3" t="s">
        <v>13</v>
      </c>
    </row>
    <row r="44" spans="2:20" x14ac:dyDescent="0.3">
      <c r="B44" s="18" t="s">
        <v>2</v>
      </c>
      <c r="C44" s="185" t="s">
        <v>15</v>
      </c>
      <c r="D44" s="185"/>
      <c r="E44" s="185"/>
      <c r="F44" s="47">
        <f>IF(((TRANSPORTE_POR_DIA*DIAS_TRABALHADOS_NO_MES)-(PERC_DESC_TRANSP_REMUNERACAO%*(AL_1_A_SAL_BASE)))&gt;0,((TRANSPORTE_POR_DIA*DIAS_TRABALHADOS_NO_MES)-(PERC_DESC_TRANSP_REMUNERACAO%*(AL_1_A_SAL_BASE))),0)</f>
        <v>0</v>
      </c>
      <c r="I44" s="18" t="s">
        <v>2</v>
      </c>
      <c r="J44" s="185" t="s">
        <v>15</v>
      </c>
      <c r="K44" s="185"/>
      <c r="L44" s="185"/>
      <c r="M44" s="47">
        <f>IF(((TRANSPORTE_POR_DIA*DIAS_TRABALHADOS_NO_MES)-(PERC_DESC_TRANSP_REMUNERACAO%*(SALARIO_BASE_EDITOR)))&gt;0,((TRANSPORTE_POR_DIA*DIAS_TRABALHADOS_NO_MES)-(PERC_DESC_TRANSP_REMUNERACAO%*(SALARIO_BASE_EDITOR))),0)</f>
        <v>0</v>
      </c>
      <c r="P44" s="18" t="s">
        <v>2</v>
      </c>
      <c r="Q44" s="185" t="s">
        <v>15</v>
      </c>
      <c r="R44" s="185"/>
      <c r="S44" s="185"/>
      <c r="T44" s="47">
        <f>IF(((TRANSPORTE_POR_DIA*DIAS_TRABALHADOS_NO_MES)-(PERC_DESC_TRANSP_REMUNERACAO%*(T22)))&gt;0,((TRANSPORTE_POR_DIA*DIAS_TRABALHADOS_NO_MES)-(PERC_DESC_TRANSP_REMUNERACAO%*(T22))),0)</f>
        <v>0</v>
      </c>
    </row>
    <row r="45" spans="2:20" s="83" customFormat="1" x14ac:dyDescent="0.3">
      <c r="B45" s="18" t="s">
        <v>3</v>
      </c>
      <c r="C45" s="187" t="s">
        <v>60</v>
      </c>
      <c r="D45" s="187"/>
      <c r="E45" s="187"/>
      <c r="F45" s="29">
        <f>ALIMENTACAO_POR_DIA*DIAS_TRABALHADOS_NO_MES</f>
        <v>0</v>
      </c>
      <c r="I45" s="18" t="s">
        <v>3</v>
      </c>
      <c r="J45" s="187" t="s">
        <v>60</v>
      </c>
      <c r="K45" s="187"/>
      <c r="L45" s="187"/>
      <c r="M45" s="29">
        <f>ALIMENTACAO_POR_DIA*DIAS_TRABALHADOS_NO_MES</f>
        <v>0</v>
      </c>
      <c r="P45" s="18" t="s">
        <v>3</v>
      </c>
      <c r="Q45" s="187" t="s">
        <v>60</v>
      </c>
      <c r="R45" s="187"/>
      <c r="S45" s="187"/>
      <c r="T45" s="29">
        <f>ALIMENTACAO_POR_DIA*DIAS_TRABALHADOS_NO_MES</f>
        <v>0</v>
      </c>
    </row>
    <row r="46" spans="2:20" s="83" customFormat="1" x14ac:dyDescent="0.3">
      <c r="B46" s="18" t="s">
        <v>4</v>
      </c>
      <c r="C46" s="210" t="str">
        <f>OUTROS_BENEFICIOS_1_DESCRICAO</f>
        <v>Outros Benefícios (Especificar)</v>
      </c>
      <c r="D46" s="211"/>
      <c r="E46" s="212"/>
      <c r="F46" s="47">
        <f>OUTROS_BENEFICIOS_1</f>
        <v>0</v>
      </c>
      <c r="I46" s="18" t="s">
        <v>4</v>
      </c>
      <c r="J46" s="210" t="str">
        <f>OUTROS_BENEFICIOS_1_DESCRICAO</f>
        <v>Outros Benefícios (Especificar)</v>
      </c>
      <c r="K46" s="211"/>
      <c r="L46" s="212"/>
      <c r="M46" s="47">
        <f>OUTROS_REMUNERACAO_1_EDITOR</f>
        <v>0</v>
      </c>
      <c r="P46" s="18" t="s">
        <v>4</v>
      </c>
      <c r="Q46" s="210" t="str">
        <f>OUTROS_BENEFICIOS_1_DESCRICAO</f>
        <v>Outros Benefícios (Especificar)</v>
      </c>
      <c r="R46" s="211"/>
      <c r="S46" s="212"/>
      <c r="T46" s="47">
        <f>OUTROS_BENEFICIOS_1</f>
        <v>0</v>
      </c>
    </row>
    <row r="47" spans="2:20" s="83" customFormat="1" ht="15" customHeight="1" x14ac:dyDescent="0.3">
      <c r="B47" s="208" t="s">
        <v>40</v>
      </c>
      <c r="C47" s="208"/>
      <c r="D47" s="208"/>
      <c r="E47" s="208"/>
      <c r="F47" s="33">
        <f>SUM(F44:F46)</f>
        <v>0</v>
      </c>
      <c r="I47" s="208" t="s">
        <v>40</v>
      </c>
      <c r="J47" s="208"/>
      <c r="K47" s="208"/>
      <c r="L47" s="208"/>
      <c r="M47" s="33">
        <f>SUM(M44:M46)</f>
        <v>0</v>
      </c>
      <c r="P47" s="208" t="s">
        <v>40</v>
      </c>
      <c r="Q47" s="208"/>
      <c r="R47" s="208"/>
      <c r="S47" s="208"/>
      <c r="T47" s="33">
        <f>SUM(T44:T46)</f>
        <v>0</v>
      </c>
    </row>
    <row r="48" spans="2:20" s="83" customFormat="1" x14ac:dyDescent="0.3">
      <c r="B48" s="43" t="s">
        <v>62</v>
      </c>
      <c r="C48" s="6"/>
      <c r="D48" s="15"/>
      <c r="E48" s="13"/>
      <c r="F48" s="13"/>
      <c r="I48" s="43" t="s">
        <v>62</v>
      </c>
      <c r="J48" s="6"/>
      <c r="K48" s="15"/>
      <c r="L48" s="13"/>
      <c r="M48" s="13"/>
      <c r="P48" s="43" t="s">
        <v>62</v>
      </c>
      <c r="Q48" s="6"/>
      <c r="R48" s="15"/>
      <c r="S48" s="13"/>
      <c r="T48" s="13"/>
    </row>
    <row r="49" spans="2:20" s="83" customFormat="1" ht="15" customHeight="1" x14ac:dyDescent="0.3">
      <c r="B49" s="1">
        <v>3</v>
      </c>
      <c r="C49" s="186" t="s">
        <v>42</v>
      </c>
      <c r="D49" s="186"/>
      <c r="E49" s="3" t="s">
        <v>1</v>
      </c>
      <c r="F49" s="3" t="s">
        <v>13</v>
      </c>
      <c r="I49" s="1">
        <v>3</v>
      </c>
      <c r="J49" s="186" t="s">
        <v>42</v>
      </c>
      <c r="K49" s="186"/>
      <c r="L49" s="3" t="s">
        <v>1</v>
      </c>
      <c r="M49" s="3" t="s">
        <v>13</v>
      </c>
      <c r="P49" s="1">
        <v>3</v>
      </c>
      <c r="Q49" s="186" t="s">
        <v>42</v>
      </c>
      <c r="R49" s="186"/>
      <c r="S49" s="3" t="s">
        <v>1</v>
      </c>
      <c r="T49" s="3" t="s">
        <v>13</v>
      </c>
    </row>
    <row r="50" spans="2:20" s="83" customFormat="1" x14ac:dyDescent="0.3">
      <c r="B50" s="1" t="s">
        <v>2</v>
      </c>
      <c r="C50" s="183" t="s">
        <v>43</v>
      </c>
      <c r="D50" s="183"/>
      <c r="E50" s="48">
        <f>PERC_AVISO_PREVIO_IND</f>
        <v>0.28999999999999998</v>
      </c>
      <c r="F50" s="47">
        <f>PERC_AVISO_PREVIO_IND%*(MOD_1_REMUNERACAO+SUBMOD_2_1_DEC_TERC_ADIC_FERIAS+AL_2_2_FGTS+SUBMOD_2_3_BENEFICIOS)</f>
        <v>0</v>
      </c>
      <c r="I50" s="1" t="s">
        <v>2</v>
      </c>
      <c r="J50" s="183" t="s">
        <v>43</v>
      </c>
      <c r="K50" s="183"/>
      <c r="L50" s="48">
        <f>PERC_AVISO_PREVIO_IND</f>
        <v>0.28999999999999998</v>
      </c>
      <c r="M50" s="47">
        <f>PERC_AVISO_PREVIO_IND%*(M24+M30+M40+M47)</f>
        <v>0</v>
      </c>
      <c r="P50" s="1" t="s">
        <v>2</v>
      </c>
      <c r="Q50" s="183" t="s">
        <v>43</v>
      </c>
      <c r="R50" s="183"/>
      <c r="S50" s="48">
        <f>PERC_AVISO_PREVIO_IND</f>
        <v>0.28999999999999998</v>
      </c>
      <c r="T50" s="47">
        <f>PERC_AVISO_PREVIO_IND%*(T24+T30+T40+T47)</f>
        <v>0</v>
      </c>
    </row>
    <row r="51" spans="2:20" s="83" customFormat="1" x14ac:dyDescent="0.3">
      <c r="B51" s="2" t="s">
        <v>3</v>
      </c>
      <c r="C51" s="190" t="s">
        <v>44</v>
      </c>
      <c r="D51" s="190"/>
      <c r="E51" s="38">
        <f>PERC_AVISO_PREVIO_TRAB</f>
        <v>1.1599999999999999</v>
      </c>
      <c r="F51" s="29">
        <f>PERC_AVISO_PREVIO_TRAB%*(MOD_1_REMUNERACAO+SUBMOD_2_1_DEC_TERC_ADIC_FERIAS+SUBMOD_2_2_GPS_FGTS+SUBMOD_2_3_BENEFICIOS)</f>
        <v>0</v>
      </c>
      <c r="I51" s="2" t="s">
        <v>3</v>
      </c>
      <c r="J51" s="190" t="s">
        <v>44</v>
      </c>
      <c r="K51" s="190"/>
      <c r="L51" s="38">
        <f>PERC_AVISO_PREVIO_TRAB</f>
        <v>1.1599999999999999</v>
      </c>
      <c r="M51" s="29">
        <f>PERC_AVISO_PREVIO_TRAB%*(M24+M30+M41+M47)</f>
        <v>0</v>
      </c>
      <c r="P51" s="2" t="s">
        <v>3</v>
      </c>
      <c r="Q51" s="190" t="s">
        <v>44</v>
      </c>
      <c r="R51" s="190"/>
      <c r="S51" s="38">
        <f>PERC_AVISO_PREVIO_TRAB</f>
        <v>1.1599999999999999</v>
      </c>
      <c r="T51" s="29">
        <f>PERC_AVISO_PREVIO_TRAB%*(T24+T30+T41+T47)</f>
        <v>0</v>
      </c>
    </row>
    <row r="52" spans="2:20" s="76" customFormat="1" x14ac:dyDescent="0.15">
      <c r="B52" s="2" t="s">
        <v>4</v>
      </c>
      <c r="C52" s="183" t="s">
        <v>161</v>
      </c>
      <c r="D52" s="183"/>
      <c r="E52" s="48">
        <f>PERC_MULTA_FGTS_AV_PREV_TRAB</f>
        <v>0.04</v>
      </c>
      <c r="F52" s="47">
        <f>PERC_MULTA_FGTS_AV_PREV_TRAB%*(MOD_1_REMUNERACAO+SUBMOD_2_1_DEC_TERC_ADIC_FERIAS)</f>
        <v>0</v>
      </c>
      <c r="I52" s="2" t="s">
        <v>4</v>
      </c>
      <c r="J52" s="183" t="s">
        <v>161</v>
      </c>
      <c r="K52" s="183"/>
      <c r="L52" s="48">
        <f>PERC_MULTA_FGTS_AV_PREV_TRAB</f>
        <v>0.04</v>
      </c>
      <c r="M52" s="47">
        <f>PERC_MULTA_FGTS_AV_PREV_TRAB%*(M24+M30)</f>
        <v>0</v>
      </c>
      <c r="P52" s="2" t="s">
        <v>4</v>
      </c>
      <c r="Q52" s="183" t="s">
        <v>161</v>
      </c>
      <c r="R52" s="183"/>
      <c r="S52" s="48">
        <f>PERC_MULTA_FGTS_AV_PREV_TRAB</f>
        <v>0.04</v>
      </c>
      <c r="T52" s="47">
        <f>PERC_MULTA_FGTS_AV_PREV_TRAB%*(T24+T30)</f>
        <v>0</v>
      </c>
    </row>
    <row r="53" spans="2:20" s="76" customFormat="1" x14ac:dyDescent="0.3">
      <c r="B53" s="145" t="s">
        <v>40</v>
      </c>
      <c r="C53" s="146"/>
      <c r="D53" s="146"/>
      <c r="E53" s="147"/>
      <c r="F53" s="34">
        <f>SUM(F50:F52)</f>
        <v>0</v>
      </c>
      <c r="I53" s="145" t="s">
        <v>40</v>
      </c>
      <c r="J53" s="146"/>
      <c r="K53" s="146"/>
      <c r="L53" s="147"/>
      <c r="M53" s="34">
        <f>SUM(M50:M52)</f>
        <v>0</v>
      </c>
      <c r="P53" s="145" t="s">
        <v>40</v>
      </c>
      <c r="Q53" s="146"/>
      <c r="R53" s="146"/>
      <c r="S53" s="147"/>
      <c r="T53" s="34">
        <f>SUM(T50:T52)</f>
        <v>0</v>
      </c>
    </row>
    <row r="54" spans="2:20" ht="7.5" customHeight="1" x14ac:dyDescent="0.3">
      <c r="B54" s="10"/>
      <c r="C54" s="7"/>
      <c r="D54" s="11"/>
      <c r="E54" s="8"/>
      <c r="F54" s="8"/>
      <c r="I54" s="10"/>
      <c r="J54" s="7"/>
      <c r="K54" s="11"/>
      <c r="L54" s="8"/>
      <c r="M54" s="8"/>
      <c r="P54" s="10"/>
      <c r="Q54" s="7"/>
      <c r="R54" s="11"/>
      <c r="S54" s="8"/>
      <c r="T54" s="8"/>
    </row>
    <row r="55" spans="2:20" s="76" customFormat="1" ht="15.95" customHeight="1" x14ac:dyDescent="0.3">
      <c r="B55" s="43" t="s">
        <v>63</v>
      </c>
      <c r="C55" s="6"/>
      <c r="D55" s="15"/>
      <c r="E55" s="7"/>
      <c r="F55" s="7"/>
      <c r="I55" s="43" t="s">
        <v>63</v>
      </c>
      <c r="J55" s="6"/>
      <c r="K55" s="15"/>
      <c r="L55" s="7"/>
      <c r="M55" s="7"/>
      <c r="P55" s="43" t="s">
        <v>63</v>
      </c>
      <c r="Q55" s="6"/>
      <c r="R55" s="15"/>
      <c r="S55" s="7"/>
      <c r="T55" s="7"/>
    </row>
    <row r="56" spans="2:20" s="76" customFormat="1" ht="15.95" customHeight="1" x14ac:dyDescent="0.3">
      <c r="B56" s="43" t="s">
        <v>86</v>
      </c>
      <c r="C56" s="6"/>
      <c r="D56" s="15"/>
      <c r="E56" s="13"/>
      <c r="F56" s="13"/>
      <c r="I56" s="43" t="s">
        <v>86</v>
      </c>
      <c r="J56" s="6"/>
      <c r="K56" s="15"/>
      <c r="L56" s="13"/>
      <c r="M56" s="13"/>
      <c r="P56" s="43" t="s">
        <v>86</v>
      </c>
      <c r="Q56" s="6"/>
      <c r="R56" s="15"/>
      <c r="S56" s="13"/>
      <c r="T56" s="13"/>
    </row>
    <row r="57" spans="2:20" s="76" customFormat="1" x14ac:dyDescent="0.15">
      <c r="B57" s="1" t="s">
        <v>18</v>
      </c>
      <c r="C57" s="184" t="s">
        <v>87</v>
      </c>
      <c r="D57" s="184"/>
      <c r="E57" s="3" t="s">
        <v>1</v>
      </c>
      <c r="F57" s="3" t="s">
        <v>13</v>
      </c>
      <c r="I57" s="1" t="s">
        <v>18</v>
      </c>
      <c r="J57" s="184" t="s">
        <v>87</v>
      </c>
      <c r="K57" s="184"/>
      <c r="L57" s="3" t="s">
        <v>1</v>
      </c>
      <c r="M57" s="3" t="s">
        <v>13</v>
      </c>
      <c r="P57" s="1" t="s">
        <v>18</v>
      </c>
      <c r="Q57" s="184" t="s">
        <v>87</v>
      </c>
      <c r="R57" s="184"/>
      <c r="S57" s="3" t="s">
        <v>1</v>
      </c>
      <c r="T57" s="3" t="s">
        <v>13</v>
      </c>
    </row>
    <row r="58" spans="2:20" s="76" customFormat="1" ht="15.95" customHeight="1" x14ac:dyDescent="0.15">
      <c r="B58" s="2" t="s">
        <v>2</v>
      </c>
      <c r="C58" s="185" t="s">
        <v>88</v>
      </c>
      <c r="D58" s="185"/>
      <c r="E58" s="48">
        <f>PERC_SUBSTITUTO_FERIAS</f>
        <v>8.33</v>
      </c>
      <c r="F58" s="47">
        <f>PERC_SUBSTITUTO_FERIAS%*(MOD_1_REMUNERACAO+MOD_2_ENCARGOS_BENEFICIOS+MOD_3_PROVISAO_RESCISAO)</f>
        <v>0</v>
      </c>
      <c r="I58" s="2" t="s">
        <v>2</v>
      </c>
      <c r="J58" s="185" t="s">
        <v>88</v>
      </c>
      <c r="K58" s="185"/>
      <c r="L58" s="48">
        <f>PERC_SUBSTITUTO_FERIAS</f>
        <v>8.33</v>
      </c>
      <c r="M58" s="47">
        <f>PERC_SUBSTITUTO_FERIAS%*(M24+M30+M41+M47+M53)</f>
        <v>0</v>
      </c>
      <c r="P58" s="2" t="s">
        <v>2</v>
      </c>
      <c r="Q58" s="185" t="s">
        <v>88</v>
      </c>
      <c r="R58" s="185"/>
      <c r="S58" s="48">
        <f>PERC_SUBSTITUTO_FERIAS</f>
        <v>8.33</v>
      </c>
      <c r="T58" s="47">
        <f>PERC_SUBSTITUTO_FERIAS%*(T22+T30+T41+T47+T53)</f>
        <v>0</v>
      </c>
    </row>
    <row r="59" spans="2:20" s="76" customFormat="1" ht="15.95" customHeight="1" x14ac:dyDescent="0.15">
      <c r="B59" s="2" t="s">
        <v>3</v>
      </c>
      <c r="C59" s="187" t="s">
        <v>89</v>
      </c>
      <c r="D59" s="187"/>
      <c r="E59" s="38">
        <f>PERC_SUBSTITUTO_AUSENCIAS_LEGAIS</f>
        <v>2.2200000000000002</v>
      </c>
      <c r="F59" s="29">
        <f>PERC_SUBSTITUTO_AUSENCIAS_LEGAIS%*(MOD_1_REMUNERACAO+MOD_2_ENCARGOS_BENEFICIOS+MOD_3_PROVISAO_RESCISAO)</f>
        <v>0</v>
      </c>
      <c r="I59" s="2" t="s">
        <v>3</v>
      </c>
      <c r="J59" s="187" t="s">
        <v>89</v>
      </c>
      <c r="K59" s="187"/>
      <c r="L59" s="38">
        <f>PERC_SUBSTITUTO_AUSENCIAS_LEGAIS</f>
        <v>2.2200000000000002</v>
      </c>
      <c r="M59" s="29">
        <f>PERC_SUBSTITUTO_AUSENCIAS_LEGAIS%*(M24+M30+M41+M47+M53)</f>
        <v>0</v>
      </c>
      <c r="P59" s="2" t="s">
        <v>3</v>
      </c>
      <c r="Q59" s="187" t="s">
        <v>89</v>
      </c>
      <c r="R59" s="187"/>
      <c r="S59" s="38">
        <f>PERC_SUBSTITUTO_AUSENCIAS_LEGAIS</f>
        <v>2.2200000000000002</v>
      </c>
      <c r="T59" s="29">
        <f>PERC_SUBSTITUTO_AUSENCIAS_LEGAIS%*(T24+T30+T41+T47+T53)</f>
        <v>0</v>
      </c>
    </row>
    <row r="60" spans="2:20" s="76" customFormat="1" ht="15.95" customHeight="1" x14ac:dyDescent="0.15">
      <c r="B60" s="2" t="s">
        <v>4</v>
      </c>
      <c r="C60" s="185" t="s">
        <v>90</v>
      </c>
      <c r="D60" s="185"/>
      <c r="E60" s="48">
        <f>PERC_SUBSTITUTO_LICENCA_PATERNIDADE</f>
        <v>0.04</v>
      </c>
      <c r="F60" s="47">
        <f>PERC_SUBSTITUTO_LICENCA_PATERNIDADE%*(MOD_1_REMUNERACAO+MOD_2_ENCARGOS_BENEFICIOS+MOD_3_PROVISAO_RESCISAO)</f>
        <v>0</v>
      </c>
      <c r="I60" s="2" t="s">
        <v>4</v>
      </c>
      <c r="J60" s="185" t="s">
        <v>90</v>
      </c>
      <c r="K60" s="185"/>
      <c r="L60" s="48">
        <f>PERC_SUBSTITUTO_LICENCA_PATERNIDADE</f>
        <v>0.04</v>
      </c>
      <c r="M60" s="47">
        <f>PERC_SUBSTITUTO_LICENCA_PATERNIDADE%*(M24+M30+M41+M47+M53)</f>
        <v>0</v>
      </c>
      <c r="P60" s="2" t="s">
        <v>4</v>
      </c>
      <c r="Q60" s="185" t="s">
        <v>90</v>
      </c>
      <c r="R60" s="185"/>
      <c r="S60" s="48">
        <f>PERC_SUBSTITUTO_LICENCA_PATERNIDADE</f>
        <v>0.04</v>
      </c>
      <c r="T60" s="47">
        <f>PERC_SUBSTITUTO_LICENCA_PATERNIDADE%*(T24+T30+T41+T47+T53)</f>
        <v>0</v>
      </c>
    </row>
    <row r="61" spans="2:20" s="76" customFormat="1" x14ac:dyDescent="0.15">
      <c r="B61" s="2" t="s">
        <v>5</v>
      </c>
      <c r="C61" s="187" t="s">
        <v>91</v>
      </c>
      <c r="D61" s="187"/>
      <c r="E61" s="38">
        <f>PERC_SUBSTITUTO_ACID_TRAB</f>
        <v>0.02</v>
      </c>
      <c r="F61" s="29">
        <f>PERC_SUBSTITUTO_ACID_TRAB%*(MOD_1_REMUNERACAO+MOD_2_ENCARGOS_BENEFICIOS+MOD_3_PROVISAO_RESCISAO)</f>
        <v>0</v>
      </c>
      <c r="I61" s="2" t="s">
        <v>5</v>
      </c>
      <c r="J61" s="187" t="s">
        <v>91</v>
      </c>
      <c r="K61" s="187"/>
      <c r="L61" s="38">
        <f>PERC_SUBSTITUTO_ACID_TRAB</f>
        <v>0.02</v>
      </c>
      <c r="M61" s="29">
        <f>PERC_SUBSTITUTO_ACID_TRAB%*(M24+M30+M41+M47+M53)</f>
        <v>0</v>
      </c>
      <c r="P61" s="2" t="s">
        <v>5</v>
      </c>
      <c r="Q61" s="187" t="s">
        <v>91</v>
      </c>
      <c r="R61" s="187"/>
      <c r="S61" s="38">
        <f>PERC_SUBSTITUTO_ACID_TRAB</f>
        <v>0.02</v>
      </c>
      <c r="T61" s="29">
        <f>PERC_SUBSTITUTO_ACID_TRAB%*(T24+T30+T41+T47+T53)</f>
        <v>0</v>
      </c>
    </row>
    <row r="62" spans="2:20" s="76" customFormat="1" x14ac:dyDescent="0.15">
      <c r="B62" s="2" t="s">
        <v>6</v>
      </c>
      <c r="C62" s="185" t="s">
        <v>92</v>
      </c>
      <c r="D62" s="185"/>
      <c r="E62" s="48">
        <f>PERC_SUBSTITUTO_AFAST_MATERN</f>
        <v>0.14000000000000001</v>
      </c>
      <c r="F62" s="47">
        <f>PERC_SUBSTITUTO_AFAST_MATERN%*(MOD_1_REMUNERACAO+MOD_2_ENCARGOS_BENEFICIOS+MOD_3_PROVISAO_RESCISAO)</f>
        <v>0</v>
      </c>
      <c r="I62" s="2" t="s">
        <v>6</v>
      </c>
      <c r="J62" s="185" t="s">
        <v>92</v>
      </c>
      <c r="K62" s="185"/>
      <c r="L62" s="48">
        <f>PERC_SUBSTITUTO_AFAST_MATERN</f>
        <v>0.14000000000000001</v>
      </c>
      <c r="M62" s="47">
        <f>PERC_SUBSTITUTO_AFAST_MATERN%*(M24+M30+M41+M47+M53)</f>
        <v>0</v>
      </c>
      <c r="P62" s="2" t="s">
        <v>6</v>
      </c>
      <c r="Q62" s="185" t="s">
        <v>92</v>
      </c>
      <c r="R62" s="185"/>
      <c r="S62" s="48">
        <f>PERC_SUBSTITUTO_AFAST_MATERN</f>
        <v>0.14000000000000001</v>
      </c>
      <c r="T62" s="47">
        <f>PERC_SUBSTITUTO_AFAST_MATERN%*(T24+T30+T41+T47+T53)</f>
        <v>0</v>
      </c>
    </row>
    <row r="63" spans="2:20" s="76" customFormat="1" x14ac:dyDescent="0.15">
      <c r="B63" s="2" t="s">
        <v>7</v>
      </c>
      <c r="C63" s="214" t="str">
        <f>OUTRAS_AUSENCIAS_DESCRICAO</f>
        <v>Outras Ausências (Especificar - em %)</v>
      </c>
      <c r="D63" s="187"/>
      <c r="E63" s="45">
        <f>PERC_SUBSTITUTO_OUTRAS_AUSENCIAS</f>
        <v>0</v>
      </c>
      <c r="F63" s="29">
        <f>PERC_SUBSTITUTO_OUTRAS_AUSENCIAS%*(MOD_1_REMUNERACAO+MOD_2_ENCARGOS_BENEFICIOS+MOD_3_PROVISAO_RESCISAO)</f>
        <v>0</v>
      </c>
      <c r="I63" s="2" t="s">
        <v>7</v>
      </c>
      <c r="J63" s="214" t="str">
        <f>OUTRAS_AUSENCIAS_DESCRICAO</f>
        <v>Outras Ausências (Especificar - em %)</v>
      </c>
      <c r="K63" s="187"/>
      <c r="L63" s="45">
        <f>PERC_SUBSTITUTO_OUTRAS_AUSENCIAS</f>
        <v>0</v>
      </c>
      <c r="M63" s="29">
        <f>PERC_SUBSTITUTO_OUTRAS_AUSENCIAS%*(M24+M30+M41+M47+M53)</f>
        <v>0</v>
      </c>
      <c r="P63" s="2" t="s">
        <v>7</v>
      </c>
      <c r="Q63" s="214" t="str">
        <f>OUTRAS_AUSENCIAS_DESCRICAO</f>
        <v>Outras Ausências (Especificar - em %)</v>
      </c>
      <c r="R63" s="187"/>
      <c r="S63" s="45">
        <f>PERC_SUBSTITUTO_OUTRAS_AUSENCIAS</f>
        <v>0</v>
      </c>
      <c r="T63" s="29">
        <f>PERC_SUBSTITUTO_OUTRAS_AUSENCIAS%*(T24+T30+T41+T47+T53)</f>
        <v>0</v>
      </c>
    </row>
    <row r="64" spans="2:20" s="76" customFormat="1" x14ac:dyDescent="0.3">
      <c r="B64" s="145" t="s">
        <v>40</v>
      </c>
      <c r="C64" s="146"/>
      <c r="D64" s="146"/>
      <c r="E64" s="147"/>
      <c r="F64" s="34">
        <f>SUM(F58:F63)</f>
        <v>0</v>
      </c>
      <c r="I64" s="145" t="s">
        <v>40</v>
      </c>
      <c r="J64" s="146"/>
      <c r="K64" s="146"/>
      <c r="L64" s="147"/>
      <c r="M64" s="34">
        <f>SUM(M58:M63)</f>
        <v>0</v>
      </c>
      <c r="P64" s="145" t="s">
        <v>40</v>
      </c>
      <c r="Q64" s="146"/>
      <c r="R64" s="146"/>
      <c r="S64" s="147"/>
      <c r="T64" s="34">
        <f>SUM(T58:T63)</f>
        <v>0</v>
      </c>
    </row>
    <row r="65" spans="2:20" ht="7.5" customHeight="1" x14ac:dyDescent="0.3">
      <c r="B65" s="10"/>
      <c r="C65" s="7"/>
      <c r="D65" s="11"/>
      <c r="E65" s="8"/>
      <c r="F65" s="8"/>
      <c r="I65" s="10"/>
      <c r="J65" s="7"/>
      <c r="K65" s="11"/>
      <c r="L65" s="8"/>
      <c r="M65" s="8"/>
      <c r="P65" s="10"/>
      <c r="Q65" s="7"/>
      <c r="R65" s="11"/>
      <c r="S65" s="8"/>
      <c r="T65" s="8"/>
    </row>
    <row r="66" spans="2:20" x14ac:dyDescent="0.3">
      <c r="B66" s="43" t="s">
        <v>65</v>
      </c>
      <c r="C66" s="6"/>
      <c r="D66" s="6"/>
      <c r="E66" s="13"/>
      <c r="F66" s="13"/>
      <c r="I66" s="43" t="s">
        <v>65</v>
      </c>
      <c r="J66" s="6"/>
      <c r="K66" s="6"/>
      <c r="L66" s="13"/>
      <c r="M66" s="13"/>
      <c r="P66" s="43" t="s">
        <v>65</v>
      </c>
      <c r="Q66" s="6"/>
      <c r="R66" s="6"/>
      <c r="S66" s="13"/>
      <c r="T66" s="13"/>
    </row>
    <row r="67" spans="2:20" ht="15.75" customHeight="1" x14ac:dyDescent="0.3">
      <c r="B67" s="41">
        <v>5</v>
      </c>
      <c r="C67" s="148" t="s">
        <v>0</v>
      </c>
      <c r="D67" s="148"/>
      <c r="E67" s="148"/>
      <c r="F67" s="42" t="s">
        <v>13</v>
      </c>
      <c r="I67" s="41">
        <v>5</v>
      </c>
      <c r="J67" s="148" t="s">
        <v>0</v>
      </c>
      <c r="K67" s="148"/>
      <c r="L67" s="148"/>
      <c r="M67" s="42" t="s">
        <v>13</v>
      </c>
      <c r="P67" s="41">
        <v>5</v>
      </c>
      <c r="Q67" s="148" t="s">
        <v>0</v>
      </c>
      <c r="R67" s="148"/>
      <c r="S67" s="148"/>
      <c r="T67" s="42" t="s">
        <v>13</v>
      </c>
    </row>
    <row r="68" spans="2:20" x14ac:dyDescent="0.3">
      <c r="B68" s="37" t="s">
        <v>2</v>
      </c>
      <c r="C68" s="149" t="s">
        <v>16</v>
      </c>
      <c r="D68" s="149"/>
      <c r="E68" s="149"/>
      <c r="F68" s="49">
        <f>UNIFORMES</f>
        <v>0</v>
      </c>
      <c r="I68" s="37" t="s">
        <v>2</v>
      </c>
      <c r="J68" s="149" t="s">
        <v>16</v>
      </c>
      <c r="K68" s="149"/>
      <c r="L68" s="149"/>
      <c r="M68" s="49">
        <f>UNIFORMES</f>
        <v>0</v>
      </c>
      <c r="P68" s="37" t="s">
        <v>2</v>
      </c>
      <c r="Q68" s="149" t="s">
        <v>16</v>
      </c>
      <c r="R68" s="149"/>
      <c r="S68" s="149"/>
      <c r="T68" s="49">
        <f>UNIFORMES</f>
        <v>0</v>
      </c>
    </row>
    <row r="69" spans="2:20" x14ac:dyDescent="0.3">
      <c r="B69" s="37" t="s">
        <v>3</v>
      </c>
      <c r="C69" s="215" t="str">
        <f>OUTROS_INSUMOS_DESCRICAO</f>
        <v>Outros (Especificar)</v>
      </c>
      <c r="D69" s="216"/>
      <c r="E69" s="216"/>
      <c r="F69" s="39">
        <f>OUTROS_INSUMOS</f>
        <v>0</v>
      </c>
      <c r="I69" s="37" t="s">
        <v>3</v>
      </c>
      <c r="J69" s="215" t="str">
        <f>OUTROS_INSUMOS_DESCRICAO</f>
        <v>Outros (Especificar)</v>
      </c>
      <c r="K69" s="216"/>
      <c r="L69" s="216"/>
      <c r="M69" s="39">
        <f>OUTROS_INSUMOS</f>
        <v>0</v>
      </c>
      <c r="P69" s="37" t="s">
        <v>3</v>
      </c>
      <c r="Q69" s="215" t="str">
        <f>OUTROS_INSUMOS_DESCRICAO</f>
        <v>Outros (Especificar)</v>
      </c>
      <c r="R69" s="216"/>
      <c r="S69" s="216"/>
      <c r="T69" s="39">
        <f>OUTROS_INSUMOS</f>
        <v>0</v>
      </c>
    </row>
    <row r="70" spans="2:20" x14ac:dyDescent="0.3">
      <c r="B70" s="213" t="s">
        <v>40</v>
      </c>
      <c r="C70" s="213"/>
      <c r="D70" s="213"/>
      <c r="E70" s="213"/>
      <c r="F70" s="36">
        <f>SUM(F68:F69)</f>
        <v>0</v>
      </c>
      <c r="I70" s="213" t="s">
        <v>40</v>
      </c>
      <c r="J70" s="213"/>
      <c r="K70" s="213"/>
      <c r="L70" s="213"/>
      <c r="M70" s="36">
        <f>SUM(M68:M69)</f>
        <v>0</v>
      </c>
      <c r="P70" s="213" t="s">
        <v>40</v>
      </c>
      <c r="Q70" s="213"/>
      <c r="R70" s="213"/>
      <c r="S70" s="213"/>
      <c r="T70" s="36">
        <f>SUM(T68:T69)</f>
        <v>0</v>
      </c>
    </row>
    <row r="71" spans="2:20" ht="7.5" customHeight="1" x14ac:dyDescent="0.3">
      <c r="B71" s="10"/>
      <c r="C71" s="7"/>
      <c r="D71" s="11"/>
      <c r="E71" s="8"/>
      <c r="F71" s="8"/>
      <c r="I71" s="10"/>
      <c r="J71" s="7"/>
      <c r="K71" s="11"/>
      <c r="L71" s="8"/>
      <c r="M71" s="8"/>
      <c r="P71" s="10"/>
      <c r="Q71" s="7"/>
      <c r="R71" s="11"/>
      <c r="S71" s="8"/>
      <c r="T71" s="8"/>
    </row>
    <row r="72" spans="2:20" ht="15" customHeight="1" x14ac:dyDescent="0.3">
      <c r="B72" s="142" t="s">
        <v>64</v>
      </c>
      <c r="C72" s="142"/>
      <c r="D72" s="142"/>
      <c r="E72" s="142"/>
      <c r="F72" s="142"/>
      <c r="I72" s="142" t="s">
        <v>64</v>
      </c>
      <c r="J72" s="142"/>
      <c r="K72" s="142"/>
      <c r="L72" s="142"/>
      <c r="M72" s="142"/>
      <c r="P72" s="142" t="s">
        <v>64</v>
      </c>
      <c r="Q72" s="142"/>
      <c r="R72" s="142"/>
      <c r="S72" s="142"/>
      <c r="T72" s="142"/>
    </row>
    <row r="73" spans="2:20" x14ac:dyDescent="0.3">
      <c r="B73" s="1">
        <v>6</v>
      </c>
      <c r="C73" s="186" t="s">
        <v>19</v>
      </c>
      <c r="D73" s="186"/>
      <c r="E73" s="3" t="s">
        <v>1</v>
      </c>
      <c r="F73" s="3" t="s">
        <v>13</v>
      </c>
      <c r="I73" s="1">
        <v>6</v>
      </c>
      <c r="J73" s="186" t="s">
        <v>19</v>
      </c>
      <c r="K73" s="186"/>
      <c r="L73" s="3" t="s">
        <v>1</v>
      </c>
      <c r="M73" s="3" t="s">
        <v>13</v>
      </c>
      <c r="P73" s="1">
        <v>6</v>
      </c>
      <c r="Q73" s="186" t="s">
        <v>19</v>
      </c>
      <c r="R73" s="186"/>
      <c r="S73" s="3" t="s">
        <v>1</v>
      </c>
      <c r="T73" s="3" t="s">
        <v>13</v>
      </c>
    </row>
    <row r="74" spans="2:20" x14ac:dyDescent="0.3">
      <c r="B74" s="1" t="s">
        <v>2</v>
      </c>
      <c r="C74" s="185" t="s">
        <v>66</v>
      </c>
      <c r="D74" s="185"/>
      <c r="E74" s="50">
        <f>PERC_CUSTOS_INDIRETOS</f>
        <v>0</v>
      </c>
      <c r="F74" s="47">
        <f>PERC_CUSTOS_INDIRETOS%*(MOD_1_REMUNERACAO+MOD_2_ENCARGOS_BENEFICIOS+MOD_3_PROVISAO_RESCISAO+SUBMOD_4_1_SUBSTITUTO+MOD_5_INSUMOS)</f>
        <v>0</v>
      </c>
      <c r="I74" s="1" t="s">
        <v>2</v>
      </c>
      <c r="J74" s="185" t="s">
        <v>66</v>
      </c>
      <c r="K74" s="185"/>
      <c r="L74" s="50">
        <f>PERC_CUSTOS_INDIRETOS</f>
        <v>0</v>
      </c>
      <c r="M74" s="47">
        <f>PERC_CUSTOS_INDIRETOS%*(M24+M30+M41+M47+M53+M64+M70)</f>
        <v>0</v>
      </c>
      <c r="P74" s="1" t="s">
        <v>2</v>
      </c>
      <c r="Q74" s="185" t="s">
        <v>66</v>
      </c>
      <c r="R74" s="185"/>
      <c r="S74" s="50">
        <f>PERC_CUSTOS_INDIRETOS</f>
        <v>0</v>
      </c>
      <c r="T74" s="47">
        <f>PERC_CUSTOS_INDIRETOS%*(T24+T30+T41+T47+T53+T64+T70)</f>
        <v>0</v>
      </c>
    </row>
    <row r="75" spans="2:20" ht="15.75" customHeight="1" x14ac:dyDescent="0.3">
      <c r="B75" s="2" t="s">
        <v>3</v>
      </c>
      <c r="C75" s="187" t="s">
        <v>26</v>
      </c>
      <c r="D75" s="187"/>
      <c r="E75" s="40">
        <f>PERC_LUCRO</f>
        <v>0</v>
      </c>
      <c r="F75" s="29">
        <f>PERC_LUCRO%*(MOD_1_REMUNERACAO+MOD_2_ENCARGOS_BENEFICIOS+MOD_3_PROVISAO_RESCISAO+SUBMOD_4_1_SUBSTITUTO+MOD_5_INSUMOS+AL_6_A_CUSTOS_INDIRETOS)</f>
        <v>0</v>
      </c>
      <c r="I75" s="2" t="s">
        <v>3</v>
      </c>
      <c r="J75" s="187" t="s">
        <v>26</v>
      </c>
      <c r="K75" s="187"/>
      <c r="L75" s="40">
        <f>PERC_LUCRO</f>
        <v>0</v>
      </c>
      <c r="M75" s="29">
        <f>PERC_LUCRO%*(M24+M30+M41+M47+M53+M64+M70+M74)</f>
        <v>0</v>
      </c>
      <c r="P75" s="2" t="s">
        <v>3</v>
      </c>
      <c r="Q75" s="187" t="s">
        <v>26</v>
      </c>
      <c r="R75" s="187"/>
      <c r="S75" s="40">
        <f>PERC_LUCRO</f>
        <v>0</v>
      </c>
      <c r="T75" s="29">
        <f>PERC_LUCRO%*(T24+T30+T41+T47+T53+T64+T70+T74)</f>
        <v>0</v>
      </c>
    </row>
    <row r="76" spans="2:20" x14ac:dyDescent="0.3">
      <c r="B76" s="2" t="s">
        <v>4</v>
      </c>
      <c r="C76" s="185" t="s">
        <v>20</v>
      </c>
      <c r="D76" s="185"/>
      <c r="E76" s="50">
        <f>SUM(E77:E79)</f>
        <v>0</v>
      </c>
      <c r="F76" s="47">
        <f>SUM(F77:F79)</f>
        <v>0</v>
      </c>
      <c r="I76" s="2" t="s">
        <v>4</v>
      </c>
      <c r="J76" s="185" t="s">
        <v>20</v>
      </c>
      <c r="K76" s="185"/>
      <c r="L76" s="50">
        <f>SUM(L77:L79)</f>
        <v>0</v>
      </c>
      <c r="M76" s="47">
        <f>SUM(M77:M79)</f>
        <v>0</v>
      </c>
      <c r="P76" s="2" t="s">
        <v>4</v>
      </c>
      <c r="Q76" s="185" t="s">
        <v>20</v>
      </c>
      <c r="R76" s="185"/>
      <c r="S76" s="50">
        <f>SUM(S77:S79)</f>
        <v>0</v>
      </c>
      <c r="T76" s="47">
        <f>SUM(T77:T79)</f>
        <v>0</v>
      </c>
    </row>
    <row r="77" spans="2:20" ht="15.75" customHeight="1" x14ac:dyDescent="0.3">
      <c r="B77" s="24" t="s">
        <v>67</v>
      </c>
      <c r="C77" s="217" t="s">
        <v>21</v>
      </c>
      <c r="D77" s="217"/>
      <c r="E77" s="25">
        <f>PERC_PIS</f>
        <v>0</v>
      </c>
      <c r="F77" s="52">
        <f>((MOD_1_REMUNERACAO+MOD_2_ENCARGOS_BENEFICIOS+MOD_3_PROVISAO_RESCISAO+SUBMOD_4_1_SUBSTITUTO+MOD_5_INSUMOS+AL_6_A_CUSTOS_INDIRETOS+AL_6_B_LUCRO)*PERC_PIS%)/(1-PERC_TRIBUTOS%)</f>
        <v>0</v>
      </c>
      <c r="I77" s="24" t="s">
        <v>67</v>
      </c>
      <c r="J77" s="217" t="s">
        <v>21</v>
      </c>
      <c r="K77" s="217"/>
      <c r="L77" s="25">
        <f>PERC_PIS</f>
        <v>0</v>
      </c>
      <c r="M77" s="52">
        <f>((M24+M30+M41+M47+M53+M64+M70+M74+M75)*PERC_PIS%)/(1-L76%)</f>
        <v>0</v>
      </c>
      <c r="P77" s="24" t="s">
        <v>67</v>
      </c>
      <c r="Q77" s="217" t="s">
        <v>21</v>
      </c>
      <c r="R77" s="217"/>
      <c r="S77" s="25">
        <f>PERC_PIS</f>
        <v>0</v>
      </c>
      <c r="T77" s="52">
        <f>((T24+T30+T41+T47+T53+T64+T70+T74+T75)*PERC_PIS%)/(1-S76%)</f>
        <v>0</v>
      </c>
    </row>
    <row r="78" spans="2:20" x14ac:dyDescent="0.3">
      <c r="B78" s="24" t="s">
        <v>68</v>
      </c>
      <c r="C78" s="218" t="s">
        <v>22</v>
      </c>
      <c r="D78" s="218"/>
      <c r="E78" s="51">
        <f>PERC_COFINS</f>
        <v>0</v>
      </c>
      <c r="F78" s="53">
        <f>((MOD_1_REMUNERACAO+MOD_2_ENCARGOS_BENEFICIOS+MOD_3_PROVISAO_RESCISAO+SUBMOD_4_1_SUBSTITUTO+MOD_5_INSUMOS+AL_6_A_CUSTOS_INDIRETOS+AL_6_B_LUCRO)*PERC_COFINS%)/(1-PERC_TRIBUTOS%)</f>
        <v>0</v>
      </c>
      <c r="I78" s="24" t="s">
        <v>68</v>
      </c>
      <c r="J78" s="218" t="s">
        <v>22</v>
      </c>
      <c r="K78" s="218"/>
      <c r="L78" s="51">
        <f>PERC_COFINS</f>
        <v>0</v>
      </c>
      <c r="M78" s="53">
        <f>((M24+M30+M41+M47+M53+M64+M70+M74+M75)*PERC_COFINS%)/(1-L76%)</f>
        <v>0</v>
      </c>
      <c r="P78" s="24" t="s">
        <v>68</v>
      </c>
      <c r="Q78" s="218" t="s">
        <v>22</v>
      </c>
      <c r="R78" s="218"/>
      <c r="S78" s="51">
        <f>PERC_COFINS</f>
        <v>0</v>
      </c>
      <c r="T78" s="53">
        <f>((T24+T30+T41+T47+T53+T64+T70+T74+T75)*PERC_COFINS%)/(1-S76%)</f>
        <v>0</v>
      </c>
    </row>
    <row r="79" spans="2:20" s="84" customFormat="1" x14ac:dyDescent="0.3">
      <c r="B79" s="24" t="s">
        <v>69</v>
      </c>
      <c r="C79" s="217" t="s">
        <v>23</v>
      </c>
      <c r="D79" s="217"/>
      <c r="E79" s="25">
        <f>PERC_ISS</f>
        <v>0</v>
      </c>
      <c r="F79" s="52">
        <f>((MOD_1_REMUNERACAO+MOD_2_ENCARGOS_BENEFICIOS+MOD_3_PROVISAO_RESCISAO+SUBMOD_4_1_SUBSTITUTO+MOD_5_INSUMOS+AL_6_A_CUSTOS_INDIRETOS+AL_6_B_LUCRO)*PERC_ISS%)/(1-PERC_TRIBUTOS%)</f>
        <v>0</v>
      </c>
      <c r="I79" s="24" t="s">
        <v>69</v>
      </c>
      <c r="J79" s="217" t="s">
        <v>23</v>
      </c>
      <c r="K79" s="217"/>
      <c r="L79" s="25">
        <f>PERC_ISS</f>
        <v>0</v>
      </c>
      <c r="M79" s="52">
        <f>((M24+M30+M41+M47+M53+M64+M70+M74+M75)*PERC_ISS%)/(1-L76%)</f>
        <v>0</v>
      </c>
      <c r="P79" s="24" t="s">
        <v>69</v>
      </c>
      <c r="Q79" s="217" t="s">
        <v>23</v>
      </c>
      <c r="R79" s="217"/>
      <c r="S79" s="25">
        <f>PERC_ISS</f>
        <v>0</v>
      </c>
      <c r="T79" s="52">
        <f>((T24+T30+T41+T47+T53+T64+T70+T74+T75)*PERC_ISS%)/(1-S76%)</f>
        <v>0</v>
      </c>
    </row>
    <row r="80" spans="2:20" s="84" customFormat="1" x14ac:dyDescent="0.3">
      <c r="B80" s="145" t="s">
        <v>40</v>
      </c>
      <c r="C80" s="146"/>
      <c r="D80" s="146"/>
      <c r="E80" s="147"/>
      <c r="F80" s="30">
        <f>AL_6_A_CUSTOS_INDIRETOS+AL_6_B_LUCRO+AL_6_C_TRIBUTOS</f>
        <v>0</v>
      </c>
      <c r="I80" s="145" t="s">
        <v>40</v>
      </c>
      <c r="J80" s="146"/>
      <c r="K80" s="146"/>
      <c r="L80" s="147"/>
      <c r="M80" s="30">
        <f>M74+M75+M76</f>
        <v>0</v>
      </c>
      <c r="P80" s="145" t="s">
        <v>40</v>
      </c>
      <c r="Q80" s="146"/>
      <c r="R80" s="146"/>
      <c r="S80" s="147"/>
      <c r="T80" s="30">
        <f>T74+T75+T76</f>
        <v>0</v>
      </c>
    </row>
    <row r="81" spans="2:20" s="84" customFormat="1" ht="20.25" x14ac:dyDescent="0.3">
      <c r="B81" s="44" t="s">
        <v>47</v>
      </c>
      <c r="C81" s="9"/>
      <c r="D81" s="9"/>
      <c r="E81" s="9"/>
      <c r="F81" s="16"/>
      <c r="I81" s="44" t="s">
        <v>47</v>
      </c>
      <c r="J81" s="9"/>
      <c r="K81" s="9"/>
      <c r="L81" s="9"/>
      <c r="M81" s="16"/>
      <c r="P81" s="44" t="s">
        <v>47</v>
      </c>
      <c r="Q81" s="9"/>
      <c r="R81" s="9"/>
      <c r="S81" s="9"/>
      <c r="T81" s="16"/>
    </row>
    <row r="82" spans="2:20" s="85" customFormat="1" ht="16.5" customHeight="1" x14ac:dyDescent="0.3">
      <c r="B82" s="2" t="s">
        <v>82</v>
      </c>
      <c r="C82" s="153" t="s">
        <v>83</v>
      </c>
      <c r="D82" s="154"/>
      <c r="E82" s="155"/>
      <c r="F82" s="3" t="s">
        <v>17</v>
      </c>
      <c r="I82" s="2" t="s">
        <v>82</v>
      </c>
      <c r="J82" s="153" t="s">
        <v>83</v>
      </c>
      <c r="K82" s="154"/>
      <c r="L82" s="155"/>
      <c r="M82" s="3" t="s">
        <v>17</v>
      </c>
      <c r="P82" s="2" t="s">
        <v>82</v>
      </c>
      <c r="Q82" s="153" t="s">
        <v>83</v>
      </c>
      <c r="R82" s="154"/>
      <c r="S82" s="155"/>
      <c r="T82" s="3" t="s">
        <v>17</v>
      </c>
    </row>
    <row r="83" spans="2:20" s="84" customFormat="1" x14ac:dyDescent="0.3">
      <c r="B83" s="1">
        <v>1</v>
      </c>
      <c r="C83" s="185" t="s">
        <v>9</v>
      </c>
      <c r="D83" s="185"/>
      <c r="E83" s="185"/>
      <c r="F83" s="47">
        <f>MOD_1_REMUNERACAO</f>
        <v>0</v>
      </c>
      <c r="I83" s="1">
        <v>1</v>
      </c>
      <c r="J83" s="185" t="s">
        <v>9</v>
      </c>
      <c r="K83" s="185"/>
      <c r="L83" s="185"/>
      <c r="M83" s="47">
        <f>M24</f>
        <v>0</v>
      </c>
      <c r="P83" s="1">
        <v>1</v>
      </c>
      <c r="Q83" s="185" t="s">
        <v>9</v>
      </c>
      <c r="R83" s="185"/>
      <c r="S83" s="185"/>
      <c r="T83" s="47">
        <f>T24</f>
        <v>0</v>
      </c>
    </row>
    <row r="84" spans="2:20" s="86" customFormat="1" ht="16.5" customHeight="1" x14ac:dyDescent="0.3">
      <c r="B84" s="2">
        <v>2</v>
      </c>
      <c r="C84" s="187" t="s">
        <v>84</v>
      </c>
      <c r="D84" s="187"/>
      <c r="E84" s="187"/>
      <c r="F84" s="29">
        <f>MOD_2_ENCARGOS_BENEFICIOS</f>
        <v>0</v>
      </c>
      <c r="I84" s="2">
        <v>2</v>
      </c>
      <c r="J84" s="187" t="s">
        <v>84</v>
      </c>
      <c r="K84" s="187"/>
      <c r="L84" s="187"/>
      <c r="M84" s="29">
        <f>M30+M41+M47</f>
        <v>0</v>
      </c>
      <c r="P84" s="2">
        <v>2</v>
      </c>
      <c r="Q84" s="187" t="s">
        <v>84</v>
      </c>
      <c r="R84" s="187"/>
      <c r="S84" s="187"/>
      <c r="T84" s="29">
        <f>T30+T41+T47</f>
        <v>0</v>
      </c>
    </row>
    <row r="85" spans="2:20" s="86" customFormat="1" x14ac:dyDescent="0.3">
      <c r="B85" s="2">
        <v>3</v>
      </c>
      <c r="C85" s="185" t="s">
        <v>42</v>
      </c>
      <c r="D85" s="185"/>
      <c r="E85" s="185"/>
      <c r="F85" s="47">
        <f>MOD_3_PROVISAO_RESCISAO</f>
        <v>0</v>
      </c>
      <c r="I85" s="2">
        <v>3</v>
      </c>
      <c r="J85" s="185" t="s">
        <v>42</v>
      </c>
      <c r="K85" s="185"/>
      <c r="L85" s="185"/>
      <c r="M85" s="47">
        <f>M53</f>
        <v>0</v>
      </c>
      <c r="P85" s="2">
        <v>3</v>
      </c>
      <c r="Q85" s="185" t="s">
        <v>42</v>
      </c>
      <c r="R85" s="185"/>
      <c r="S85" s="185"/>
      <c r="T85" s="47">
        <f>T53</f>
        <v>0</v>
      </c>
    </row>
    <row r="86" spans="2:20" s="86" customFormat="1" x14ac:dyDescent="0.3">
      <c r="B86" s="2">
        <v>4</v>
      </c>
      <c r="C86" s="187" t="s">
        <v>45</v>
      </c>
      <c r="D86" s="187"/>
      <c r="E86" s="187"/>
      <c r="F86" s="29">
        <f>SUBMOD_4_1_SUBSTITUTO</f>
        <v>0</v>
      </c>
      <c r="I86" s="2">
        <v>4</v>
      </c>
      <c r="J86" s="187" t="s">
        <v>45</v>
      </c>
      <c r="K86" s="187"/>
      <c r="L86" s="187"/>
      <c r="M86" s="29">
        <f>M64</f>
        <v>0</v>
      </c>
      <c r="P86" s="2">
        <v>4</v>
      </c>
      <c r="Q86" s="187" t="s">
        <v>45</v>
      </c>
      <c r="R86" s="187"/>
      <c r="S86" s="187"/>
      <c r="T86" s="29">
        <f>T64</f>
        <v>0</v>
      </c>
    </row>
    <row r="87" spans="2:20" s="86" customFormat="1" x14ac:dyDescent="0.3">
      <c r="B87" s="2">
        <v>5</v>
      </c>
      <c r="C87" s="185" t="s">
        <v>0</v>
      </c>
      <c r="D87" s="185"/>
      <c r="E87" s="185"/>
      <c r="F87" s="47">
        <f>MOD_5_INSUMOS</f>
        <v>0</v>
      </c>
      <c r="I87" s="2">
        <v>5</v>
      </c>
      <c r="J87" s="185" t="s">
        <v>0</v>
      </c>
      <c r="K87" s="185"/>
      <c r="L87" s="185"/>
      <c r="M87" s="47">
        <f>M70</f>
        <v>0</v>
      </c>
      <c r="P87" s="2">
        <v>5</v>
      </c>
      <c r="Q87" s="185" t="s">
        <v>0</v>
      </c>
      <c r="R87" s="185"/>
      <c r="S87" s="185"/>
      <c r="T87" s="47">
        <f>T70</f>
        <v>0</v>
      </c>
    </row>
    <row r="88" spans="2:20" s="86" customFormat="1" x14ac:dyDescent="0.3">
      <c r="B88" s="2">
        <v>6</v>
      </c>
      <c r="C88" s="187" t="s">
        <v>19</v>
      </c>
      <c r="D88" s="187"/>
      <c r="E88" s="187"/>
      <c r="F88" s="29">
        <f>MOD_6_CUSTOS_IND_LUCRO_TRIB</f>
        <v>0</v>
      </c>
      <c r="I88" s="2">
        <v>6</v>
      </c>
      <c r="J88" s="187" t="s">
        <v>19</v>
      </c>
      <c r="K88" s="187"/>
      <c r="L88" s="187"/>
      <c r="M88" s="29">
        <f>M80</f>
        <v>0</v>
      </c>
      <c r="P88" s="2">
        <v>6</v>
      </c>
      <c r="Q88" s="187" t="s">
        <v>19</v>
      </c>
      <c r="R88" s="187"/>
      <c r="S88" s="187"/>
      <c r="T88" s="29">
        <f>T80</f>
        <v>0</v>
      </c>
    </row>
    <row r="89" spans="2:20" ht="16.5" customHeight="1" x14ac:dyDescent="0.3">
      <c r="B89" s="184" t="s">
        <v>85</v>
      </c>
      <c r="C89" s="184"/>
      <c r="D89" s="184"/>
      <c r="E89" s="184"/>
      <c r="F89" s="30">
        <f>SUM(F83:F88)</f>
        <v>0</v>
      </c>
      <c r="I89" s="184" t="s">
        <v>85</v>
      </c>
      <c r="J89" s="184"/>
      <c r="K89" s="184"/>
      <c r="L89" s="184"/>
      <c r="M89" s="30">
        <f>SUM(M83:M88)</f>
        <v>0</v>
      </c>
      <c r="P89" s="184" t="s">
        <v>85</v>
      </c>
      <c r="Q89" s="184"/>
      <c r="R89" s="184"/>
      <c r="S89" s="184"/>
      <c r="T89" s="30">
        <f>SUM(T83:T88)</f>
        <v>0</v>
      </c>
    </row>
    <row r="90" spans="2:20" ht="16.5" customHeight="1" x14ac:dyDescent="0.3">
      <c r="B90" s="184" t="s">
        <v>25</v>
      </c>
      <c r="C90" s="184"/>
      <c r="D90" s="184"/>
      <c r="E90" s="184"/>
      <c r="F90" s="30">
        <f>VALOR_TOTAL_EMPREGADO*EMPREG_POR_POSTO</f>
        <v>0</v>
      </c>
      <c r="I90" s="184" t="s">
        <v>25</v>
      </c>
      <c r="J90" s="184"/>
      <c r="K90" s="184"/>
      <c r="L90" s="184"/>
      <c r="M90" s="30">
        <f>M89*EMPREG_POR_POSTO</f>
        <v>0</v>
      </c>
      <c r="P90" s="184" t="s">
        <v>25</v>
      </c>
      <c r="Q90" s="184"/>
      <c r="R90" s="184"/>
      <c r="S90" s="184"/>
      <c r="T90" s="30">
        <f>T89*T19</f>
        <v>0</v>
      </c>
    </row>
    <row r="91" spans="2:20" x14ac:dyDescent="0.3">
      <c r="B91" s="184" t="s">
        <v>137</v>
      </c>
      <c r="C91" s="184"/>
      <c r="D91" s="184"/>
      <c r="E91" s="184"/>
      <c r="F91" s="30">
        <f>VALOR_TOTAL_EMPREGADO*EMPREG_POR_POSTO*QTDE_POSTOS</f>
        <v>0</v>
      </c>
      <c r="I91" s="184" t="s">
        <v>137</v>
      </c>
      <c r="J91" s="184"/>
      <c r="K91" s="184"/>
      <c r="L91" s="184"/>
      <c r="M91" s="30">
        <f>M89*M19*M12</f>
        <v>0</v>
      </c>
      <c r="P91" s="184" t="s">
        <v>137</v>
      </c>
      <c r="Q91" s="184"/>
      <c r="R91" s="184"/>
      <c r="S91" s="184"/>
      <c r="T91" s="30">
        <f>T89*T19*T12</f>
        <v>0</v>
      </c>
    </row>
  </sheetData>
  <mergeCells count="243">
    <mergeCell ref="Q88:S88"/>
    <mergeCell ref="P89:S89"/>
    <mergeCell ref="P90:S90"/>
    <mergeCell ref="P91:S91"/>
    <mergeCell ref="Q82:S82"/>
    <mergeCell ref="Q83:S83"/>
    <mergeCell ref="Q84:S84"/>
    <mergeCell ref="Q85:S85"/>
    <mergeCell ref="Q86:S86"/>
    <mergeCell ref="Q87:S87"/>
    <mergeCell ref="Q76:R76"/>
    <mergeCell ref="Q77:R77"/>
    <mergeCell ref="Q78:R78"/>
    <mergeCell ref="Q79:R79"/>
    <mergeCell ref="P80:S80"/>
    <mergeCell ref="Q69:S69"/>
    <mergeCell ref="P70:S70"/>
    <mergeCell ref="P72:T72"/>
    <mergeCell ref="Q73:R73"/>
    <mergeCell ref="Q74:R74"/>
    <mergeCell ref="Q67:S67"/>
    <mergeCell ref="Q68:S68"/>
    <mergeCell ref="Q59:R59"/>
    <mergeCell ref="Q60:R60"/>
    <mergeCell ref="Q61:R61"/>
    <mergeCell ref="Q62:R62"/>
    <mergeCell ref="Q63:R63"/>
    <mergeCell ref="P64:S64"/>
    <mergeCell ref="Q75:R75"/>
    <mergeCell ref="Q50:R50"/>
    <mergeCell ref="Q51:R51"/>
    <mergeCell ref="Q52:R52"/>
    <mergeCell ref="P53:S53"/>
    <mergeCell ref="Q57:R57"/>
    <mergeCell ref="Q58:R58"/>
    <mergeCell ref="Q45:S45"/>
    <mergeCell ref="Q46:S46"/>
    <mergeCell ref="P47:S47"/>
    <mergeCell ref="Q49:R49"/>
    <mergeCell ref="Q38:R38"/>
    <mergeCell ref="Q39:R39"/>
    <mergeCell ref="Q40:R40"/>
    <mergeCell ref="P41:S41"/>
    <mergeCell ref="Q43:S43"/>
    <mergeCell ref="Q44:S44"/>
    <mergeCell ref="Q32:R32"/>
    <mergeCell ref="Q33:R33"/>
    <mergeCell ref="Q34:R34"/>
    <mergeCell ref="Q35:R35"/>
    <mergeCell ref="Q36:R36"/>
    <mergeCell ref="Q37:R37"/>
    <mergeCell ref="R15:T15"/>
    <mergeCell ref="R16:T16"/>
    <mergeCell ref="P24:S24"/>
    <mergeCell ref="Q27:R27"/>
    <mergeCell ref="Q28:R28"/>
    <mergeCell ref="Q29:R29"/>
    <mergeCell ref="P30:S30"/>
    <mergeCell ref="P31:T31"/>
    <mergeCell ref="Q23:S23"/>
    <mergeCell ref="Q10:S10"/>
    <mergeCell ref="J88:L88"/>
    <mergeCell ref="I89:L89"/>
    <mergeCell ref="I90:L90"/>
    <mergeCell ref="J74:K74"/>
    <mergeCell ref="J67:L67"/>
    <mergeCell ref="J68:L68"/>
    <mergeCell ref="J59:K59"/>
    <mergeCell ref="J60:K60"/>
    <mergeCell ref="J61:K61"/>
    <mergeCell ref="J62:K62"/>
    <mergeCell ref="J63:K63"/>
    <mergeCell ref="I64:L64"/>
    <mergeCell ref="J50:K50"/>
    <mergeCell ref="J51:K51"/>
    <mergeCell ref="Q17:S17"/>
    <mergeCell ref="P18:T18"/>
    <mergeCell ref="P19:S19"/>
    <mergeCell ref="Q21:S21"/>
    <mergeCell ref="Q22:S22"/>
    <mergeCell ref="Q11:S11"/>
    <mergeCell ref="Q12:S12"/>
    <mergeCell ref="Q14:R14"/>
    <mergeCell ref="S14:T14"/>
    <mergeCell ref="P1:T1"/>
    <mergeCell ref="P2:R2"/>
    <mergeCell ref="P3:T3"/>
    <mergeCell ref="P4:T4"/>
    <mergeCell ref="P5:Q5"/>
    <mergeCell ref="R5:T5"/>
    <mergeCell ref="J82:L82"/>
    <mergeCell ref="J83:L83"/>
    <mergeCell ref="J84:L84"/>
    <mergeCell ref="J75:K75"/>
    <mergeCell ref="J76:K76"/>
    <mergeCell ref="J77:K77"/>
    <mergeCell ref="J78:K78"/>
    <mergeCell ref="J79:K79"/>
    <mergeCell ref="I80:L80"/>
    <mergeCell ref="J69:L69"/>
    <mergeCell ref="I70:L70"/>
    <mergeCell ref="I72:M72"/>
    <mergeCell ref="J73:K73"/>
    <mergeCell ref="P6:Q6"/>
    <mergeCell ref="R6:S6"/>
    <mergeCell ref="P7:T7"/>
    <mergeCell ref="Q8:S8"/>
    <mergeCell ref="R9:T9"/>
    <mergeCell ref="J52:K52"/>
    <mergeCell ref="I53:L53"/>
    <mergeCell ref="J57:K57"/>
    <mergeCell ref="J58:K58"/>
    <mergeCell ref="J45:L45"/>
    <mergeCell ref="J46:L46"/>
    <mergeCell ref="I47:L47"/>
    <mergeCell ref="J49:K49"/>
    <mergeCell ref="I91:L91"/>
    <mergeCell ref="J85:L85"/>
    <mergeCell ref="J86:L86"/>
    <mergeCell ref="J87:L87"/>
    <mergeCell ref="J38:K38"/>
    <mergeCell ref="J39:K39"/>
    <mergeCell ref="J40:K40"/>
    <mergeCell ref="I41:L41"/>
    <mergeCell ref="J43:L43"/>
    <mergeCell ref="J44:L44"/>
    <mergeCell ref="J32:K32"/>
    <mergeCell ref="J33:K33"/>
    <mergeCell ref="J34:K34"/>
    <mergeCell ref="J35:K35"/>
    <mergeCell ref="J36:K36"/>
    <mergeCell ref="J37:K37"/>
    <mergeCell ref="K15:M15"/>
    <mergeCell ref="K16:M16"/>
    <mergeCell ref="I24:L24"/>
    <mergeCell ref="J27:K27"/>
    <mergeCell ref="J28:K28"/>
    <mergeCell ref="J29:K29"/>
    <mergeCell ref="I30:L30"/>
    <mergeCell ref="I31:M31"/>
    <mergeCell ref="J23:L23"/>
    <mergeCell ref="J10:L10"/>
    <mergeCell ref="C88:E88"/>
    <mergeCell ref="B89:E89"/>
    <mergeCell ref="B90:E90"/>
    <mergeCell ref="C74:D74"/>
    <mergeCell ref="C67:E67"/>
    <mergeCell ref="C68:E68"/>
    <mergeCell ref="C59:D59"/>
    <mergeCell ref="C60:D60"/>
    <mergeCell ref="C61:D61"/>
    <mergeCell ref="C62:D62"/>
    <mergeCell ref="C63:D63"/>
    <mergeCell ref="B64:E64"/>
    <mergeCell ref="C50:D50"/>
    <mergeCell ref="C51:D51"/>
    <mergeCell ref="J17:L17"/>
    <mergeCell ref="I18:M18"/>
    <mergeCell ref="I19:L19"/>
    <mergeCell ref="J21:L21"/>
    <mergeCell ref="J22:L22"/>
    <mergeCell ref="J11:L11"/>
    <mergeCell ref="J12:L12"/>
    <mergeCell ref="J14:K14"/>
    <mergeCell ref="L14:M14"/>
    <mergeCell ref="I1:M1"/>
    <mergeCell ref="I2:K2"/>
    <mergeCell ref="I3:M3"/>
    <mergeCell ref="I4:M4"/>
    <mergeCell ref="I5:J5"/>
    <mergeCell ref="K5:M5"/>
    <mergeCell ref="C82:E82"/>
    <mergeCell ref="C83:E83"/>
    <mergeCell ref="C84:E84"/>
    <mergeCell ref="C75:D75"/>
    <mergeCell ref="C76:D76"/>
    <mergeCell ref="C77:D77"/>
    <mergeCell ref="C78:D78"/>
    <mergeCell ref="C79:D79"/>
    <mergeCell ref="B80:E80"/>
    <mergeCell ref="C69:E69"/>
    <mergeCell ref="B70:E70"/>
    <mergeCell ref="B72:F72"/>
    <mergeCell ref="C73:D73"/>
    <mergeCell ref="I6:J6"/>
    <mergeCell ref="K6:L6"/>
    <mergeCell ref="I7:M7"/>
    <mergeCell ref="J8:L8"/>
    <mergeCell ref="K9:M9"/>
    <mergeCell ref="C52:D52"/>
    <mergeCell ref="B53:E53"/>
    <mergeCell ref="C57:D57"/>
    <mergeCell ref="C58:D58"/>
    <mergeCell ref="C45:E45"/>
    <mergeCell ref="C46:E46"/>
    <mergeCell ref="B47:E47"/>
    <mergeCell ref="C49:D49"/>
    <mergeCell ref="B91:E91"/>
    <mergeCell ref="C85:E85"/>
    <mergeCell ref="C86:E86"/>
    <mergeCell ref="C87:E87"/>
    <mergeCell ref="C40:D40"/>
    <mergeCell ref="B41:E41"/>
    <mergeCell ref="C43:E43"/>
    <mergeCell ref="C44:E44"/>
    <mergeCell ref="C32:D32"/>
    <mergeCell ref="C33:D33"/>
    <mergeCell ref="C34:D34"/>
    <mergeCell ref="C35:D35"/>
    <mergeCell ref="C36:D36"/>
    <mergeCell ref="C37:D37"/>
    <mergeCell ref="B24:E24"/>
    <mergeCell ref="C27:D27"/>
    <mergeCell ref="C28:D28"/>
    <mergeCell ref="C29:D29"/>
    <mergeCell ref="B30:E30"/>
    <mergeCell ref="B31:F31"/>
    <mergeCell ref="C23:E23"/>
    <mergeCell ref="C38:D38"/>
    <mergeCell ref="C39:D39"/>
    <mergeCell ref="C17:E17"/>
    <mergeCell ref="B18:F18"/>
    <mergeCell ref="B19:E19"/>
    <mergeCell ref="C21:E21"/>
    <mergeCell ref="C22:E22"/>
    <mergeCell ref="C11:E11"/>
    <mergeCell ref="C12:E12"/>
    <mergeCell ref="C14:D14"/>
    <mergeCell ref="E14:F14"/>
    <mergeCell ref="D15:F15"/>
    <mergeCell ref="D16:F16"/>
    <mergeCell ref="B6:C6"/>
    <mergeCell ref="D6:E6"/>
    <mergeCell ref="B7:F7"/>
    <mergeCell ref="C8:E8"/>
    <mergeCell ref="D9:F9"/>
    <mergeCell ref="C10:E10"/>
    <mergeCell ref="B1:F1"/>
    <mergeCell ref="B2:D2"/>
    <mergeCell ref="B3:F3"/>
    <mergeCell ref="B4:F4"/>
    <mergeCell ref="B5:C5"/>
    <mergeCell ref="D5:F5"/>
  </mergeCells>
  <printOptions horizontalCentered="1"/>
  <pageMargins left="0.08" right="0.05" top="0.19685039370078741" bottom="0.15748031496062992" header="0.19685039370078741" footer="0.15748031496062992"/>
  <pageSetup paperSize="9" scale="89" orientation="portrait" r:id="rId1"/>
  <rowBreaks count="1" manualBreakCount="1">
    <brk id="47" min="1" max="19" man="1"/>
  </rowBreaks>
  <colBreaks count="2" manualBreakCount="2">
    <brk id="6" max="90" man="1"/>
    <brk id="13" max="90"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5E657-C37D-4C7B-AF1B-BB4029B6368E}">
  <dimension ref="B5:G40"/>
  <sheetViews>
    <sheetView showGridLines="0" view="pageBreakPreview" zoomScale="90" zoomScaleNormal="100" zoomScaleSheetLayoutView="90" workbookViewId="0">
      <selection activeCell="J9" sqref="J9"/>
    </sheetView>
  </sheetViews>
  <sheetFormatPr defaultRowHeight="12.75" x14ac:dyDescent="0.2"/>
  <cols>
    <col min="2" max="2" width="37.85546875" customWidth="1"/>
    <col min="3" max="3" width="12.7109375" customWidth="1"/>
    <col min="4" max="4" width="24" customWidth="1"/>
    <col min="5" max="5" width="27.140625" customWidth="1"/>
    <col min="6" max="6" width="29.42578125" customWidth="1"/>
    <col min="7" max="7" width="32.28515625" customWidth="1"/>
  </cols>
  <sheetData>
    <row r="5" spans="2:7" ht="25.5" x14ac:dyDescent="0.5">
      <c r="B5" s="166" t="s">
        <v>203</v>
      </c>
      <c r="C5" s="166"/>
      <c r="D5" s="166"/>
      <c r="E5" s="166"/>
      <c r="F5" s="166"/>
    </row>
    <row r="6" spans="2:7" ht="20.25" x14ac:dyDescent="0.35">
      <c r="B6" s="230" t="s">
        <v>201</v>
      </c>
      <c r="C6" s="230"/>
      <c r="D6" s="230"/>
      <c r="E6" s="230"/>
      <c r="F6" s="230"/>
    </row>
    <row r="7" spans="2:7" ht="16.5" x14ac:dyDescent="0.2">
      <c r="B7" s="220" t="s">
        <v>175</v>
      </c>
      <c r="C7" s="221"/>
      <c r="D7" s="224" t="s">
        <v>176</v>
      </c>
      <c r="E7" s="226" t="s">
        <v>13</v>
      </c>
      <c r="F7" s="227"/>
    </row>
    <row r="8" spans="2:7" ht="16.5" x14ac:dyDescent="0.2">
      <c r="B8" s="222"/>
      <c r="C8" s="223"/>
      <c r="D8" s="225"/>
      <c r="E8" s="3" t="s">
        <v>177</v>
      </c>
      <c r="F8" s="3" t="s">
        <v>40</v>
      </c>
    </row>
    <row r="9" spans="2:7" ht="16.5" x14ac:dyDescent="0.3">
      <c r="B9" s="228" t="str">
        <f>'INSERÇÃO DE DADOS (POSTOS)'!C19</f>
        <v>Operador de mídias audiovisuais (36 horas)</v>
      </c>
      <c r="C9" s="229"/>
      <c r="D9" s="112">
        <f>'INSERÇÃO DE DADOS (POSTOS)'!F19</f>
        <v>5</v>
      </c>
      <c r="E9" s="113">
        <f>'OPERADOR DE MÍDIA (RESIDENTES)'!VALOR_TOTAL_POSTO</f>
        <v>0</v>
      </c>
      <c r="F9" s="113">
        <f>D9*E9</f>
        <v>0</v>
      </c>
    </row>
    <row r="10" spans="2:7" ht="16.5" x14ac:dyDescent="0.3">
      <c r="B10" s="145" t="s">
        <v>178</v>
      </c>
      <c r="C10" s="146"/>
      <c r="D10" s="146"/>
      <c r="E10" s="147"/>
      <c r="F10" s="34">
        <f>SUM(F9:F9)</f>
        <v>0</v>
      </c>
    </row>
    <row r="11" spans="2:7" x14ac:dyDescent="0.2">
      <c r="B11" s="231"/>
      <c r="C11" s="231"/>
      <c r="D11" s="231"/>
      <c r="E11" s="231"/>
      <c r="F11" s="231"/>
    </row>
    <row r="12" spans="2:7" ht="20.25" x14ac:dyDescent="0.35">
      <c r="B12" s="230" t="s">
        <v>202</v>
      </c>
      <c r="C12" s="230"/>
      <c r="D12" s="230"/>
      <c r="E12" s="230"/>
      <c r="F12" s="230"/>
    </row>
    <row r="13" spans="2:7" ht="16.5" customHeight="1" x14ac:dyDescent="0.2">
      <c r="B13" s="220" t="s">
        <v>204</v>
      </c>
      <c r="C13" s="224" t="s">
        <v>207</v>
      </c>
      <c r="D13" s="224" t="s">
        <v>218</v>
      </c>
      <c r="E13" s="226" t="s">
        <v>13</v>
      </c>
      <c r="F13" s="227"/>
      <c r="G13" s="234" t="s">
        <v>234</v>
      </c>
    </row>
    <row r="14" spans="2:7" ht="49.5" customHeight="1" x14ac:dyDescent="0.2">
      <c r="B14" s="222"/>
      <c r="C14" s="225"/>
      <c r="D14" s="225"/>
      <c r="E14" s="3" t="s">
        <v>205</v>
      </c>
      <c r="F14" s="3" t="s">
        <v>206</v>
      </c>
      <c r="G14" s="222"/>
    </row>
    <row r="15" spans="2:7" ht="17.25" customHeight="1" x14ac:dyDescent="0.3">
      <c r="B15" s="232" t="s">
        <v>212</v>
      </c>
      <c r="C15" s="119" t="s">
        <v>208</v>
      </c>
      <c r="D15" s="119">
        <v>300</v>
      </c>
      <c r="E15" s="123">
        <f>ROUND('SERVIÇOS EVENTUAIS'!VALOR_TOTAL_POSTO/180,2)</f>
        <v>0</v>
      </c>
      <c r="F15" s="121">
        <f t="shared" ref="F15:F20" si="0">D15*E15</f>
        <v>0</v>
      </c>
      <c r="G15" s="48" t="s">
        <v>232</v>
      </c>
    </row>
    <row r="16" spans="2:7" ht="16.5" x14ac:dyDescent="0.3">
      <c r="B16" s="233"/>
      <c r="C16" s="118" t="s">
        <v>209</v>
      </c>
      <c r="D16" s="120">
        <v>48</v>
      </c>
      <c r="E16" s="124">
        <f>ROUND('SERVIÇOS EVENTUAIS'!VALOR_TOTAL_POSTO/128.57,2)</f>
        <v>0</v>
      </c>
      <c r="F16" s="122">
        <f t="shared" si="0"/>
        <v>0</v>
      </c>
      <c r="G16" s="31" t="s">
        <v>233</v>
      </c>
    </row>
    <row r="17" spans="2:7" ht="16.5" x14ac:dyDescent="0.3">
      <c r="B17" s="232" t="s">
        <v>213</v>
      </c>
      <c r="C17" s="119" t="s">
        <v>208</v>
      </c>
      <c r="D17" s="119">
        <v>300</v>
      </c>
      <c r="E17" s="123">
        <f>ROUND('SERVIÇOS EVENTUAIS'!M90/180,2)</f>
        <v>0</v>
      </c>
      <c r="F17" s="121">
        <f t="shared" si="0"/>
        <v>0</v>
      </c>
      <c r="G17" s="48" t="s">
        <v>232</v>
      </c>
    </row>
    <row r="18" spans="2:7" ht="16.5" x14ac:dyDescent="0.3">
      <c r="B18" s="233"/>
      <c r="C18" s="118" t="s">
        <v>209</v>
      </c>
      <c r="D18" s="120">
        <v>48</v>
      </c>
      <c r="E18" s="124">
        <f>ROUND('SERVIÇOS EVENTUAIS'!M90/128.57,2)</f>
        <v>0</v>
      </c>
      <c r="F18" s="122">
        <f t="shared" si="0"/>
        <v>0</v>
      </c>
      <c r="G18" s="31" t="s">
        <v>233</v>
      </c>
    </row>
    <row r="19" spans="2:7" ht="16.5" x14ac:dyDescent="0.3">
      <c r="B19" s="232" t="s">
        <v>214</v>
      </c>
      <c r="C19" s="119" t="s">
        <v>208</v>
      </c>
      <c r="D19" s="119">
        <v>300</v>
      </c>
      <c r="E19" s="123">
        <f>ROUND('SERVIÇOS EVENTUAIS'!T90/180,2)</f>
        <v>0</v>
      </c>
      <c r="F19" s="121">
        <f t="shared" si="0"/>
        <v>0</v>
      </c>
      <c r="G19" s="48" t="s">
        <v>232</v>
      </c>
    </row>
    <row r="20" spans="2:7" ht="16.5" x14ac:dyDescent="0.3">
      <c r="B20" s="233"/>
      <c r="C20" s="118" t="s">
        <v>209</v>
      </c>
      <c r="D20" s="120">
        <v>48</v>
      </c>
      <c r="E20" s="124">
        <f>ROUND('SERVIÇOS EVENTUAIS'!T90/128.57,2)</f>
        <v>0</v>
      </c>
      <c r="F20" s="122">
        <f t="shared" si="0"/>
        <v>0</v>
      </c>
      <c r="G20" s="31" t="s">
        <v>233</v>
      </c>
    </row>
    <row r="21" spans="2:7" ht="16.5" x14ac:dyDescent="0.3">
      <c r="B21" s="145" t="s">
        <v>215</v>
      </c>
      <c r="C21" s="146"/>
      <c r="D21" s="146"/>
      <c r="E21" s="147"/>
      <c r="F21" s="34">
        <f>SUM(F15:F20)</f>
        <v>0</v>
      </c>
    </row>
    <row r="22" spans="2:7" x14ac:dyDescent="0.2">
      <c r="B22" s="231"/>
      <c r="C22" s="231"/>
      <c r="D22" s="231"/>
      <c r="E22" s="231"/>
      <c r="F22" s="231"/>
    </row>
    <row r="23" spans="2:7" ht="20.25" x14ac:dyDescent="0.35">
      <c r="B23" s="230" t="s">
        <v>217</v>
      </c>
      <c r="C23" s="230"/>
      <c r="D23" s="230"/>
      <c r="E23" s="230"/>
      <c r="F23" s="230"/>
    </row>
    <row r="24" spans="2:7" ht="16.5" x14ac:dyDescent="0.2">
      <c r="B24" s="220" t="s">
        <v>163</v>
      </c>
      <c r="C24" s="221"/>
      <c r="D24" s="224" t="s">
        <v>179</v>
      </c>
      <c r="E24" s="226" t="s">
        <v>13</v>
      </c>
      <c r="F24" s="227"/>
    </row>
    <row r="25" spans="2:7" ht="16.5" x14ac:dyDescent="0.2">
      <c r="B25" s="222"/>
      <c r="C25" s="223"/>
      <c r="D25" s="225"/>
      <c r="E25" s="3" t="s">
        <v>177</v>
      </c>
      <c r="F25" s="3" t="s">
        <v>40</v>
      </c>
    </row>
    <row r="26" spans="2:7" ht="16.5" x14ac:dyDescent="0.3">
      <c r="B26" s="229" t="str">
        <f>'INSERÇÃO DE DADOS (BENEFÍCIOS)'!C5</f>
        <v>Auxílio saúde/Plano de saúde</v>
      </c>
      <c r="C26" s="229"/>
      <c r="D26" s="112">
        <f>D9</f>
        <v>5</v>
      </c>
      <c r="E26" s="113">
        <f>'INSERÇÃO DE DADOS (BENEFÍCIOS)'!D5</f>
        <v>0</v>
      </c>
      <c r="F26" s="113">
        <f>D26*E26</f>
        <v>0</v>
      </c>
    </row>
    <row r="27" spans="2:7" ht="16.5" x14ac:dyDescent="0.3">
      <c r="B27" s="174" t="str">
        <f>'INSERÇÃO DE DADOS (BENEFÍCIOS)'!C6</f>
        <v>Seguro de vida e assistência funeral</v>
      </c>
      <c r="C27" s="176"/>
      <c r="D27" s="114">
        <f>D9</f>
        <v>5</v>
      </c>
      <c r="E27" s="115">
        <f>'INSERÇÃO DE DADOS (BENEFÍCIOS)'!D6</f>
        <v>0</v>
      </c>
      <c r="F27" s="115">
        <f>D27*E27</f>
        <v>0</v>
      </c>
    </row>
    <row r="28" spans="2:7" ht="16.5" x14ac:dyDescent="0.3">
      <c r="B28" s="229" t="str">
        <f>'INSERÇÃO DE DADOS (BENEFÍCIOS)'!C7</f>
        <v>Auxílio creche/similares</v>
      </c>
      <c r="C28" s="229"/>
      <c r="D28" s="112">
        <f>D9</f>
        <v>5</v>
      </c>
      <c r="E28" s="113">
        <f>'INSERÇÃO DE DADOS (BENEFÍCIOS)'!D7</f>
        <v>0</v>
      </c>
      <c r="F28" s="113">
        <f>D28*E28</f>
        <v>0</v>
      </c>
    </row>
    <row r="29" spans="2:7" ht="16.5" x14ac:dyDescent="0.3">
      <c r="B29" s="145" t="s">
        <v>180</v>
      </c>
      <c r="C29" s="146"/>
      <c r="D29" s="146"/>
      <c r="E29" s="147"/>
      <c r="F29" s="34">
        <f>SUM(F26:F28)</f>
        <v>0</v>
      </c>
    </row>
    <row r="30" spans="2:7" ht="16.5" x14ac:dyDescent="0.3">
      <c r="B30" s="145" t="s">
        <v>211</v>
      </c>
      <c r="C30" s="146"/>
      <c r="D30" s="146"/>
      <c r="E30" s="147"/>
      <c r="F30" s="34">
        <f>12*(F10+F29)+F21</f>
        <v>0</v>
      </c>
    </row>
    <row r="31" spans="2:7" ht="16.5" x14ac:dyDescent="0.3">
      <c r="B31" s="145" t="s">
        <v>181</v>
      </c>
      <c r="C31" s="146"/>
      <c r="D31" s="146"/>
      <c r="E31" s="147"/>
      <c r="F31" s="34">
        <f>5%*F30</f>
        <v>0</v>
      </c>
    </row>
    <row r="34" spans="6:6" x14ac:dyDescent="0.2">
      <c r="F34" s="116"/>
    </row>
    <row r="37" spans="6:6" x14ac:dyDescent="0.2">
      <c r="F37" s="116"/>
    </row>
    <row r="40" spans="6:6" x14ac:dyDescent="0.2">
      <c r="F40" s="116"/>
    </row>
  </sheetData>
  <mergeCells count="29">
    <mergeCell ref="G13:G14"/>
    <mergeCell ref="B21:E21"/>
    <mergeCell ref="B6:F6"/>
    <mergeCell ref="B12:F12"/>
    <mergeCell ref="B11:F11"/>
    <mergeCell ref="B22:F22"/>
    <mergeCell ref="B10:E10"/>
    <mergeCell ref="D13:D14"/>
    <mergeCell ref="E13:F13"/>
    <mergeCell ref="B13:B14"/>
    <mergeCell ref="C13:C14"/>
    <mergeCell ref="B15:B16"/>
    <mergeCell ref="B17:B18"/>
    <mergeCell ref="B19:B20"/>
    <mergeCell ref="B27:C27"/>
    <mergeCell ref="B28:C28"/>
    <mergeCell ref="B29:E29"/>
    <mergeCell ref="B30:E30"/>
    <mergeCell ref="B31:E31"/>
    <mergeCell ref="B24:C25"/>
    <mergeCell ref="D24:D25"/>
    <mergeCell ref="E24:F24"/>
    <mergeCell ref="B26:C26"/>
    <mergeCell ref="B23:F23"/>
    <mergeCell ref="B5:F5"/>
    <mergeCell ref="B7:C8"/>
    <mergeCell ref="D7:D8"/>
    <mergeCell ref="E7:F7"/>
    <mergeCell ref="B9:C9"/>
  </mergeCells>
  <pageMargins left="0.511811024" right="0.511811024" top="0.78740157499999996" bottom="0.78740157499999996" header="0.31496062000000002" footer="0.31496062000000002"/>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142</vt:i4>
      </vt:variant>
    </vt:vector>
  </HeadingPairs>
  <TitlesOfParts>
    <vt:vector size="150" baseType="lpstr">
      <vt:lpstr>INSERÇÃO DE DADOS (POSTOS)</vt:lpstr>
      <vt:lpstr>INSERÇÃO DE DADOS (UNIFORMES)</vt:lpstr>
      <vt:lpstr>INSERÇÃO DE DADOS (BENEFÍCIOS)</vt:lpstr>
      <vt:lpstr>DADOS-ESTATISTICOS</vt:lpstr>
      <vt:lpstr>ENCARGOS-SOCIAIS-E-TRABALHISTAS</vt:lpstr>
      <vt:lpstr>OPERADOR DE MÍDIA (RESIDENTES)</vt:lpstr>
      <vt:lpstr>SERVIÇOS EVENTUAIS</vt:lpstr>
      <vt:lpstr>QUADRO RESUMO</vt:lpstr>
      <vt:lpstr>ACORDO_COLETIVO</vt:lpstr>
      <vt:lpstr>'OPERADOR DE MÍDIA (RESIDENTES)'!AL_1_A_SAL_BASE</vt:lpstr>
      <vt:lpstr>'SERVIÇOS EVENTUAIS'!AL_1_A_SAL_BASE</vt:lpstr>
      <vt:lpstr>'OPERADOR DE MÍDIA (RESIDENTES)'!AL_2_1_A_DEC_TERC</vt:lpstr>
      <vt:lpstr>'SERVIÇOS EVENTUAIS'!AL_2_1_A_DEC_TERC</vt:lpstr>
      <vt:lpstr>'OPERADOR DE MÍDIA (RESIDENTES)'!AL_2_1_B_ADIC_FERIAS</vt:lpstr>
      <vt:lpstr>'SERVIÇOS EVENTUAIS'!AL_2_1_B_ADIC_FERIAS</vt:lpstr>
      <vt:lpstr>'OPERADOR DE MÍDIA (RESIDENTES)'!AL_2_2_FGTS</vt:lpstr>
      <vt:lpstr>'SERVIÇOS EVENTUAIS'!AL_2_2_FGTS</vt:lpstr>
      <vt:lpstr>'OPERADOR DE MÍDIA (RESIDENTES)'!AL_2_3_A_TRANSP</vt:lpstr>
      <vt:lpstr>'SERVIÇOS EVENTUAIS'!AL_2_3_A_TRANSP</vt:lpstr>
      <vt:lpstr>'OPERADOR DE MÍDIA (RESIDENTES)'!AL_2_3_B_AUX_ALIMENT</vt:lpstr>
      <vt:lpstr>'SERVIÇOS EVENTUAIS'!AL_2_3_B_AUX_ALIMENT</vt:lpstr>
      <vt:lpstr>'OPERADOR DE MÍDIA (RESIDENTES)'!AL_2_3_C_OUTROS_BENEF</vt:lpstr>
      <vt:lpstr>'SERVIÇOS EVENTUAIS'!AL_2_3_C_OUTROS_BENEF</vt:lpstr>
      <vt:lpstr>'OPERADOR DE MÍDIA (RESIDENTES)'!AL_2_A_ATE_2_G_GPS</vt:lpstr>
      <vt:lpstr>'SERVIÇOS EVENTUAIS'!AL_2_A_ATE_2_G_GPS</vt:lpstr>
      <vt:lpstr>'OPERADOR DE MÍDIA (RESIDENTES)'!AL_6_A_CUSTOS_INDIRETOS</vt:lpstr>
      <vt:lpstr>'SERVIÇOS EVENTUAIS'!AL_6_A_CUSTOS_INDIRETOS</vt:lpstr>
      <vt:lpstr>'OPERADOR DE MÍDIA (RESIDENTES)'!AL_6_B_LUCRO</vt:lpstr>
      <vt:lpstr>'SERVIÇOS EVENTUAIS'!AL_6_B_LUCRO</vt:lpstr>
      <vt:lpstr>'OPERADOR DE MÍDIA (RESIDENTES)'!AL_6_C_1_PIS</vt:lpstr>
      <vt:lpstr>'SERVIÇOS EVENTUAIS'!AL_6_C_1_PIS</vt:lpstr>
      <vt:lpstr>'OPERADOR DE MÍDIA (RESIDENTES)'!AL_6_C_2_COFINS</vt:lpstr>
      <vt:lpstr>'SERVIÇOS EVENTUAIS'!AL_6_C_2_COFINS</vt:lpstr>
      <vt:lpstr>'OPERADOR DE MÍDIA (RESIDENTES)'!AL_6_C_3_ISS</vt:lpstr>
      <vt:lpstr>'SERVIÇOS EVENTUAIS'!AL_6_C_3_ISS</vt:lpstr>
      <vt:lpstr>'OPERADOR DE MÍDIA (RESIDENTES)'!AL_6_C_TRIBUTOS</vt:lpstr>
      <vt:lpstr>'SERVIÇOS EVENTUAIS'!AL_6_C_TRIBUTOS</vt:lpstr>
      <vt:lpstr>ALIMENTACAO_POR_DIA</vt:lpstr>
      <vt:lpstr>'DADOS-ESTATISTICOS'!Area_de_impressao</vt:lpstr>
      <vt:lpstr>'ENCARGOS-SOCIAIS-E-TRABALHISTAS'!Area_de_impressao</vt:lpstr>
      <vt:lpstr>'INSERÇÃO DE DADOS (BENEFÍCIOS)'!Area_de_impressao</vt:lpstr>
      <vt:lpstr>'INSERÇÃO DE DADOS (UNIFORMES)'!Area_de_impressao</vt:lpstr>
      <vt:lpstr>'OPERADOR DE MÍDIA (RESIDENTES)'!Area_de_impressao</vt:lpstr>
      <vt:lpstr>'QUADRO RESUMO'!Area_de_impressao</vt:lpstr>
      <vt:lpstr>'SERVIÇOS EVENTUAIS'!Area_de_impressao</vt:lpstr>
      <vt:lpstr>CATEGORIA_PROFISSIONAL</vt:lpstr>
      <vt:lpstr>CBO</vt:lpstr>
      <vt:lpstr>DATA_APRESENTACAO_PROPOSTA</vt:lpstr>
      <vt:lpstr>DATA_BASE_CATEGORIA</vt:lpstr>
      <vt:lpstr>DATA_DO_ORCAMENTO_ESTIMATIVO</vt:lpstr>
      <vt:lpstr>DATA_LICITACAO</vt:lpstr>
      <vt:lpstr>DIAS_AUSENCIAS_LEGAIS</vt:lpstr>
      <vt:lpstr>DIAS_LICENCA_MATERNIDADE</vt:lpstr>
      <vt:lpstr>DIAS_LICENCA_PATERNIDADE</vt:lpstr>
      <vt:lpstr>DIAS_NA_SEMANA</vt:lpstr>
      <vt:lpstr>DIAS_NO_ANO</vt:lpstr>
      <vt:lpstr>DIAS_NO_MES</vt:lpstr>
      <vt:lpstr>DIAS_PAGOS_EMPRESA_ACID_TRAB</vt:lpstr>
      <vt:lpstr>DIAS_TRABALHADOS_NO_MES</vt:lpstr>
      <vt:lpstr>DIVISOR_DE_HORAS</vt:lpstr>
      <vt:lpstr>EMPREG_POR_POSTO</vt:lpstr>
      <vt:lpstr>HORA_NORMAL</vt:lpstr>
      <vt:lpstr>HORA_NOTURNA</vt:lpstr>
      <vt:lpstr>HORARIO_LICITACAO</vt:lpstr>
      <vt:lpstr>LOCAL_DE_EXECUCAO</vt:lpstr>
      <vt:lpstr>MEDIA_ANUAL_DIAS_TRABALHO_MES</vt:lpstr>
      <vt:lpstr>MESES_NO_ANO</vt:lpstr>
      <vt:lpstr>'OPERADOR DE MÍDIA (RESIDENTES)'!MOD_1_REMUNERACAO</vt:lpstr>
      <vt:lpstr>'SERVIÇOS EVENTUAIS'!MOD_1_REMUNERACAO</vt:lpstr>
      <vt:lpstr>'OPERADOR DE MÍDIA (RESIDENTES)'!MOD_3_PROVISAO_RESCISAO</vt:lpstr>
      <vt:lpstr>'SERVIÇOS EVENTUAIS'!MOD_3_PROVISAO_RESCISAO</vt:lpstr>
      <vt:lpstr>'OPERADOR DE MÍDIA (RESIDENTES)'!MOD_5_INSUMOS</vt:lpstr>
      <vt:lpstr>'SERVIÇOS EVENTUAIS'!MOD_5_INSUMOS</vt:lpstr>
      <vt:lpstr>'OPERADOR DE MÍDIA (RESIDENTES)'!MOD_6_CUSTOS_IND_LUCRO_TRIB</vt:lpstr>
      <vt:lpstr>'SERVIÇOS EVENTUAIS'!MOD_6_CUSTOS_IND_LUCRO_TRIB</vt:lpstr>
      <vt:lpstr>MODALIDADE_DE_LICITACAO</vt:lpstr>
      <vt:lpstr>NUMERO_MESES_EXEC_CONTRATUAL</vt:lpstr>
      <vt:lpstr>NUMERO_PREGAO</vt:lpstr>
      <vt:lpstr>NUMERO_PROCESSO</vt:lpstr>
      <vt:lpstr>OUTRAS_AUSENCIAS</vt:lpstr>
      <vt:lpstr>OUTRAS_AUSENCIAS_DESCRICAO</vt:lpstr>
      <vt:lpstr>OUTROS_BENEFICIOS_1</vt:lpstr>
      <vt:lpstr>OUTROS_BENEFICIOS_1_DESCRICAO</vt:lpstr>
      <vt:lpstr>OUTROS_INSUMOS</vt:lpstr>
      <vt:lpstr>OUTROS_INSUMOS_DESCRICAO</vt:lpstr>
      <vt:lpstr>OUTROS_REMUNERACAO_1</vt:lpstr>
      <vt:lpstr>OUTROS_REMUNERACAO_1_DESCRICAO</vt:lpstr>
      <vt:lpstr>OUTROS_REMUNERACAO_1_DIRETOR</vt:lpstr>
      <vt:lpstr>OUTROS_REMUNERACAO_1_EDITOR</vt:lpstr>
      <vt:lpstr>PERC_ADIC_FERIAS</vt:lpstr>
      <vt:lpstr>PERC_AVISO_PREVIO_IND</vt:lpstr>
      <vt:lpstr>PERC_AVISO_PREVIO_TRAB</vt:lpstr>
      <vt:lpstr>PERC_COFINS</vt:lpstr>
      <vt:lpstr>PERC_CUSTOS_INDIRETOS</vt:lpstr>
      <vt:lpstr>PERC_DEC_TERC</vt:lpstr>
      <vt:lpstr>PERC_DESC_TRANSP_REMUNERACAO</vt:lpstr>
      <vt:lpstr>PERC_EMPREG_AFAST_TRAB</vt:lpstr>
      <vt:lpstr>PERC_EMPREG_AVISO_PREVIO_IND</vt:lpstr>
      <vt:lpstr>PERC_EMPREG_AVISO_PREVIO_TRAB</vt:lpstr>
      <vt:lpstr>PERC_EMPREG_DEMIT_SEM_JUSTA_CAUSA_TOTAL_DESLIG</vt:lpstr>
      <vt:lpstr>PERC_FGTS</vt:lpstr>
      <vt:lpstr>PERC_GPS_FGTS</vt:lpstr>
      <vt:lpstr>PERC_INCRA</vt:lpstr>
      <vt:lpstr>PERC_INSS</vt:lpstr>
      <vt:lpstr>PERC_ISS</vt:lpstr>
      <vt:lpstr>PERC_LUCRO</vt:lpstr>
      <vt:lpstr>'OPERADOR DE MÍDIA (RESIDENTES)'!PERC_MOD_3_PROVISAO_RESCISAO</vt:lpstr>
      <vt:lpstr>'SERVIÇOS EVENTUAIS'!PERC_MOD_3_PROVISAO_RESCISAO</vt:lpstr>
      <vt:lpstr>PERC_MULTA_FGTS</vt:lpstr>
      <vt:lpstr>PERC_MULTA_FGTS_AV_PREV_TRAB</vt:lpstr>
      <vt:lpstr>PERC_NASCIDOS_VIVOS_POPUL_FEM</vt:lpstr>
      <vt:lpstr>PERC_PARTIC_FEM_VIGIL</vt:lpstr>
      <vt:lpstr>PERC_PARTIC_MASC_VIGIL</vt:lpstr>
      <vt:lpstr>PERC_PIS</vt:lpstr>
      <vt:lpstr>PERC_RAT</vt:lpstr>
      <vt:lpstr>PERC_SAL_EDUCACAO</vt:lpstr>
      <vt:lpstr>PERC_SEBRAE</vt:lpstr>
      <vt:lpstr>PERC_SENAC</vt:lpstr>
      <vt:lpstr>PERC_SESC</vt:lpstr>
      <vt:lpstr>PERC_SUBSTITUTO_ACID_TRAB</vt:lpstr>
      <vt:lpstr>PERC_SUBSTITUTO_AFAST_MATERN</vt:lpstr>
      <vt:lpstr>PERC_SUBSTITUTO_AUSENCIAS_LEGAIS</vt:lpstr>
      <vt:lpstr>PERC_SUBSTITUTO_FERIAS</vt:lpstr>
      <vt:lpstr>PERC_SUBSTITUTO_LICENCA_PATERNIDADE</vt:lpstr>
      <vt:lpstr>PERC_SUBSTITUTO_OUTRAS_AUSENCIAS</vt:lpstr>
      <vt:lpstr>'OPERADOR DE MÍDIA (RESIDENTES)'!PERC_TRIBUTOS</vt:lpstr>
      <vt:lpstr>'SERVIÇOS EVENTUAIS'!PERC_TRIBUTOS</vt:lpstr>
      <vt:lpstr>'OPERADOR DE MÍDIA (RESIDENTES)'!QTDE_POSTOS</vt:lpstr>
      <vt:lpstr>'SERVIÇOS EVENTUAIS'!QTDE_POSTOS</vt:lpstr>
      <vt:lpstr>RAMO</vt:lpstr>
      <vt:lpstr>SAL_MINIMO</vt:lpstr>
      <vt:lpstr>SALARIO_BASE</vt:lpstr>
      <vt:lpstr>SALARIO_BASE_DIRETOR</vt:lpstr>
      <vt:lpstr>SALARIO_BASE_EDITOR</vt:lpstr>
      <vt:lpstr>'OPERADOR DE MÍDIA (RESIDENTES)'!SUBMOD_2_1_DEC_TERC_ADIC_FERIAS</vt:lpstr>
      <vt:lpstr>'SERVIÇOS EVENTUAIS'!SUBMOD_2_1_DEC_TERC_ADIC_FERIAS</vt:lpstr>
      <vt:lpstr>'OPERADOR DE MÍDIA (RESIDENTES)'!SUBMOD_2_2_GPS_FGTS</vt:lpstr>
      <vt:lpstr>'SERVIÇOS EVENTUAIS'!SUBMOD_2_2_GPS_FGTS</vt:lpstr>
      <vt:lpstr>'OPERADOR DE MÍDIA (RESIDENTES)'!SUBMOD_2_3_BENEFICIOS</vt:lpstr>
      <vt:lpstr>'SERVIÇOS EVENTUAIS'!SUBMOD_2_3_BENEFICIOS</vt:lpstr>
      <vt:lpstr>'OPERADOR DE MÍDIA (RESIDENTES)'!SUBMOD_4_1_SUBSTITUTO</vt:lpstr>
      <vt:lpstr>'SERVIÇOS EVENTUAIS'!SUBMOD_4_1_SUBSTITUTO</vt:lpstr>
      <vt:lpstr>TIPO_DE_SERVICO</vt:lpstr>
      <vt:lpstr>TRANSPORTE_POR_DIA</vt:lpstr>
      <vt:lpstr>UG</vt:lpstr>
      <vt:lpstr>UNIFORMES</vt:lpstr>
      <vt:lpstr>'OPERADOR DE MÍDIA (RESIDENTES)'!VALOR_TOTAL_EMPREGADO</vt:lpstr>
      <vt:lpstr>'SERVIÇOS EVENTUAIS'!VALOR_TOTAL_EMPREGADO</vt:lpstr>
      <vt:lpstr>'OPERADOR DE MÍDIA (RESIDENTES)'!VALOR_TOTAL_POSTO</vt:lpstr>
      <vt:lpstr>'SERVIÇOS EVENTUAIS'!VALOR_TOTAL_POSTO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Felipe Flores da Silva</dc:creator>
  <cp:lastModifiedBy>Rubens Miranda</cp:lastModifiedBy>
  <cp:lastPrinted>2022-09-28T21:56:11Z</cp:lastPrinted>
  <dcterms:created xsi:type="dcterms:W3CDTF">2014-02-07T18:14:59Z</dcterms:created>
  <dcterms:modified xsi:type="dcterms:W3CDTF">2022-09-28T22:13:08Z</dcterms:modified>
</cp:coreProperties>
</file>